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customProperty"/>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autoCompressPictures="0"/>
  <mc:AlternateContent xmlns:mc="http://schemas.openxmlformats.org/markup-compatibility/2006">
    <mc:Choice Requires="x15">
      <x15ac:absPath xmlns:x15ac="http://schemas.microsoft.com/office/spreadsheetml/2010/11/ac" url="/Users/anacuellar/Desktop/UIMQROO/CALENDARIO DE EVENTOS /"/>
    </mc:Choice>
  </mc:AlternateContent>
  <bookViews>
    <workbookView xWindow="0" yWindow="460" windowWidth="25600" windowHeight="14600" tabRatio="788" firstSheet="4" activeTab="9"/>
  </bookViews>
  <sheets>
    <sheet name="Ene" sheetId="14" r:id="rId1"/>
    <sheet name="Feb" sheetId="35" r:id="rId2"/>
    <sheet name="Mar" sheetId="37" r:id="rId3"/>
    <sheet name="Apr" sheetId="38" r:id="rId4"/>
    <sheet name="May" sheetId="39" r:id="rId5"/>
    <sheet name="Jun" sheetId="40" r:id="rId6"/>
    <sheet name="Jul" sheetId="41" r:id="rId7"/>
    <sheet name="Ago" sheetId="42" r:id="rId8"/>
    <sheet name="Sep" sheetId="43" r:id="rId9"/>
    <sheet name="Oct" sheetId="44" r:id="rId10"/>
    <sheet name="Nov" sheetId="45" r:id="rId11"/>
    <sheet name="Dec" sheetId="46" r:id="rId12"/>
    <sheet name="Lista de búsqueda" sheetId="15" r:id="rId13"/>
  </sheets>
  <definedNames>
    <definedName name="AprSun1">DATE(CalendarYear,4,1)-WEEKDAY(DATE(CalendarYear,4,1))+1</definedName>
    <definedName name="_xlnm.Print_Area" localSheetId="0">Ene!$A$1:$H$14</definedName>
    <definedName name="AugSun1">DATE(CalendarYear,8,1)-WEEKDAY(DATE(CalendarYear,8,1))+1</definedName>
    <definedName name="CalendarYear">Ene!$K$1</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OLE_LINK2" localSheetId="5">Jun!$B$13</definedName>
    <definedName name="SepSun1">DATE(CalendarYear,9,1)-WEEKDAY(DATE(CalendarYear,9,1))+1</definedName>
    <definedName name="Year">YearLookup[]</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9" i="45" l="1"/>
  <c r="H12" i="40"/>
  <c r="G12" i="40"/>
  <c r="F12" i="40"/>
  <c r="E12" i="40"/>
  <c r="D12" i="40"/>
  <c r="C12" i="40"/>
  <c r="B12" i="40"/>
  <c r="B1" i="44"/>
  <c r="B9" i="39"/>
  <c r="C9" i="39"/>
  <c r="B13" i="43"/>
  <c r="C13" i="43"/>
  <c r="B1" i="46"/>
  <c r="F6" i="45"/>
  <c r="E6" i="45"/>
  <c r="C13" i="46"/>
  <c r="B13" i="46"/>
  <c r="H11" i="46"/>
  <c r="G11" i="46"/>
  <c r="F11" i="46"/>
  <c r="E11" i="46"/>
  <c r="D11" i="46"/>
  <c r="C11" i="46"/>
  <c r="B11" i="46"/>
  <c r="H9" i="46"/>
  <c r="G9" i="46"/>
  <c r="F9" i="46"/>
  <c r="E9" i="46"/>
  <c r="D9" i="46"/>
  <c r="C9" i="46"/>
  <c r="B9" i="46"/>
  <c r="H7" i="46"/>
  <c r="G7" i="46"/>
  <c r="F7" i="46"/>
  <c r="E7" i="46"/>
  <c r="D7" i="46"/>
  <c r="C7" i="46"/>
  <c r="B7" i="46"/>
  <c r="H5" i="46"/>
  <c r="G5" i="46"/>
  <c r="F5" i="46"/>
  <c r="E5" i="46"/>
  <c r="D5" i="46"/>
  <c r="C5" i="46"/>
  <c r="B5" i="46"/>
  <c r="H3" i="46"/>
  <c r="G3" i="46"/>
  <c r="F3" i="46"/>
  <c r="E3" i="46"/>
  <c r="D3" i="46"/>
  <c r="C3" i="46"/>
  <c r="B3" i="46"/>
  <c r="C15" i="45"/>
  <c r="B15" i="45"/>
  <c r="H13" i="45"/>
  <c r="G13" i="45"/>
  <c r="F13" i="45"/>
  <c r="E13" i="45"/>
  <c r="D13" i="45"/>
  <c r="C13" i="45"/>
  <c r="B13" i="45"/>
  <c r="H11" i="45"/>
  <c r="G11" i="45"/>
  <c r="F11" i="45"/>
  <c r="E11" i="45"/>
  <c r="D11" i="45"/>
  <c r="C11" i="45"/>
  <c r="B11" i="45"/>
  <c r="H9" i="45"/>
  <c r="G9" i="45"/>
  <c r="E9" i="45"/>
  <c r="D9" i="45"/>
  <c r="C9" i="45"/>
  <c r="B9" i="45"/>
  <c r="H6" i="45"/>
  <c r="G6" i="45"/>
  <c r="D6" i="45"/>
  <c r="C6" i="45"/>
  <c r="B6" i="45"/>
  <c r="H3" i="45"/>
  <c r="G3" i="45"/>
  <c r="F3" i="45"/>
  <c r="E3" i="45"/>
  <c r="D3" i="45"/>
  <c r="C3" i="45"/>
  <c r="B3" i="45"/>
  <c r="B1" i="45"/>
  <c r="C15" i="44"/>
  <c r="H13" i="44"/>
  <c r="G13" i="44"/>
  <c r="F13" i="44"/>
  <c r="E13" i="44"/>
  <c r="D13" i="44"/>
  <c r="C13" i="44"/>
  <c r="B13" i="44"/>
  <c r="H11" i="44"/>
  <c r="G11" i="44"/>
  <c r="F11" i="44"/>
  <c r="E11" i="44"/>
  <c r="D11" i="44"/>
  <c r="C11" i="44"/>
  <c r="B11" i="44"/>
  <c r="H8" i="44"/>
  <c r="G8" i="44"/>
  <c r="F8" i="44"/>
  <c r="E8" i="44"/>
  <c r="D8" i="44"/>
  <c r="C8" i="44"/>
  <c r="B8" i="44"/>
  <c r="H5" i="44"/>
  <c r="G5" i="44"/>
  <c r="F5" i="44"/>
  <c r="E5" i="44"/>
  <c r="D5" i="44"/>
  <c r="C5" i="44"/>
  <c r="B5" i="44"/>
  <c r="H3" i="44"/>
  <c r="G3" i="44"/>
  <c r="F3" i="44"/>
  <c r="E3" i="44"/>
  <c r="D3" i="44"/>
  <c r="C3" i="44"/>
  <c r="B3" i="44"/>
  <c r="H11" i="43"/>
  <c r="G11" i="43"/>
  <c r="F11" i="43"/>
  <c r="E11" i="43"/>
  <c r="D11" i="43"/>
  <c r="C11" i="43"/>
  <c r="B11" i="43"/>
  <c r="H9" i="43"/>
  <c r="G9" i="43"/>
  <c r="F9" i="43"/>
  <c r="E9" i="43"/>
  <c r="D9" i="43"/>
  <c r="C9" i="43"/>
  <c r="B9" i="43"/>
  <c r="H7" i="43"/>
  <c r="G7" i="43"/>
  <c r="F7" i="43"/>
  <c r="E7" i="43"/>
  <c r="D7" i="43"/>
  <c r="C7" i="43"/>
  <c r="B7" i="43"/>
  <c r="H5" i="43"/>
  <c r="G5" i="43"/>
  <c r="F5" i="43"/>
  <c r="E5" i="43"/>
  <c r="D5" i="43"/>
  <c r="C5" i="43"/>
  <c r="B5" i="43"/>
  <c r="H3" i="43"/>
  <c r="G3" i="43"/>
  <c r="F3" i="43"/>
  <c r="E3" i="43"/>
  <c r="D3" i="43"/>
  <c r="C3" i="43"/>
  <c r="B3" i="43"/>
  <c r="B1" i="43"/>
  <c r="C14" i="42"/>
  <c r="B14" i="42"/>
  <c r="H12" i="42"/>
  <c r="G12" i="42"/>
  <c r="F12" i="42"/>
  <c r="E12" i="42"/>
  <c r="D12" i="42"/>
  <c r="C12" i="42"/>
  <c r="B12" i="42"/>
  <c r="H9" i="42"/>
  <c r="G9" i="42"/>
  <c r="F9" i="42"/>
  <c r="E9" i="42"/>
  <c r="D9" i="42"/>
  <c r="C9" i="42"/>
  <c r="B9" i="42"/>
  <c r="H7" i="42"/>
  <c r="G7" i="42"/>
  <c r="F7" i="42"/>
  <c r="E7" i="42"/>
  <c r="D7" i="42"/>
  <c r="C7" i="42"/>
  <c r="H5" i="42"/>
  <c r="G5" i="42"/>
  <c r="F5" i="42"/>
  <c r="E5" i="42"/>
  <c r="D5" i="42"/>
  <c r="C5" i="42"/>
  <c r="B5" i="42"/>
  <c r="H3" i="42"/>
  <c r="G3" i="42"/>
  <c r="F3" i="42"/>
  <c r="E3" i="42"/>
  <c r="D3" i="42"/>
  <c r="C3" i="42"/>
  <c r="B3" i="42"/>
  <c r="B1" i="42"/>
  <c r="C13" i="41"/>
  <c r="B13" i="41"/>
  <c r="H11" i="41"/>
  <c r="G11" i="41"/>
  <c r="F11" i="41"/>
  <c r="E11" i="41"/>
  <c r="D11" i="41"/>
  <c r="C11" i="41"/>
  <c r="B11" i="41"/>
  <c r="H9" i="41"/>
  <c r="G9" i="41"/>
  <c r="F9" i="41"/>
  <c r="E9" i="41"/>
  <c r="D9" i="41"/>
  <c r="C9" i="41"/>
  <c r="B9" i="41"/>
  <c r="H7" i="41"/>
  <c r="G7" i="41"/>
  <c r="F7" i="41"/>
  <c r="E7" i="41"/>
  <c r="D7" i="41"/>
  <c r="C7" i="41"/>
  <c r="B7" i="41"/>
  <c r="H5" i="41"/>
  <c r="G5" i="41"/>
  <c r="F5" i="41"/>
  <c r="E5" i="41"/>
  <c r="D5" i="41"/>
  <c r="C5" i="41"/>
  <c r="B5" i="41"/>
  <c r="H3" i="41"/>
  <c r="G3" i="41"/>
  <c r="F3" i="41"/>
  <c r="E3" i="41"/>
  <c r="D3" i="41"/>
  <c r="C3" i="41"/>
  <c r="B3" i="41"/>
  <c r="B1" i="41"/>
  <c r="C14" i="40"/>
  <c r="B14" i="40"/>
  <c r="H11" i="40"/>
  <c r="G11" i="40"/>
  <c r="H9" i="40"/>
  <c r="G9" i="40"/>
  <c r="F9" i="40"/>
  <c r="E9" i="40"/>
  <c r="D9" i="40"/>
  <c r="C9" i="40"/>
  <c r="B9" i="40"/>
  <c r="H7" i="40"/>
  <c r="G7" i="40"/>
  <c r="F7" i="40"/>
  <c r="E7" i="40"/>
  <c r="D7" i="40"/>
  <c r="C7" i="40"/>
  <c r="B7" i="40"/>
  <c r="H5" i="40"/>
  <c r="G5" i="40"/>
  <c r="F5" i="40"/>
  <c r="E5" i="40"/>
  <c r="D5" i="40"/>
  <c r="C5" i="40"/>
  <c r="B5" i="40"/>
  <c r="H3" i="40"/>
  <c r="G3" i="40"/>
  <c r="F3" i="40"/>
  <c r="E3" i="40"/>
  <c r="D3" i="40"/>
  <c r="C3" i="40"/>
  <c r="B3" i="40"/>
  <c r="B1" i="40"/>
  <c r="C13" i="39"/>
  <c r="B13" i="39"/>
  <c r="H11" i="39"/>
  <c r="G11" i="39"/>
  <c r="F11" i="39"/>
  <c r="E11" i="39"/>
  <c r="D11" i="39"/>
  <c r="C11" i="39"/>
  <c r="B11" i="39"/>
  <c r="H9" i="39"/>
  <c r="G9" i="39"/>
  <c r="F9" i="39"/>
  <c r="E9" i="39"/>
  <c r="D9" i="39"/>
  <c r="H7" i="39"/>
  <c r="G7" i="39"/>
  <c r="F7" i="39"/>
  <c r="E7" i="39"/>
  <c r="D7" i="39"/>
  <c r="C7" i="39"/>
  <c r="B7" i="39"/>
  <c r="H5" i="39"/>
  <c r="G5" i="39"/>
  <c r="F5" i="39"/>
  <c r="E5" i="39"/>
  <c r="D5" i="39"/>
  <c r="C5" i="39"/>
  <c r="B5" i="39"/>
  <c r="H3" i="39"/>
  <c r="G3" i="39"/>
  <c r="F3" i="39"/>
  <c r="E3" i="39"/>
  <c r="D3" i="39"/>
  <c r="C3" i="39"/>
  <c r="B3" i="39"/>
  <c r="B1" i="39"/>
  <c r="C13" i="38"/>
  <c r="B13" i="38"/>
  <c r="H11" i="38"/>
  <c r="G11" i="38"/>
  <c r="F11" i="38"/>
  <c r="E11" i="38"/>
  <c r="D11" i="38"/>
  <c r="C11" i="38"/>
  <c r="B11" i="38"/>
  <c r="H9" i="38"/>
  <c r="G9" i="38"/>
  <c r="F9" i="38"/>
  <c r="E9" i="38"/>
  <c r="D9" i="38"/>
  <c r="C9" i="38"/>
  <c r="B9" i="38"/>
  <c r="H7" i="38"/>
  <c r="G7" i="38"/>
  <c r="F7" i="38"/>
  <c r="E7" i="38"/>
  <c r="D7" i="38"/>
  <c r="C7" i="38"/>
  <c r="B7" i="38"/>
  <c r="H5" i="38"/>
  <c r="G5" i="38"/>
  <c r="F5" i="38"/>
  <c r="E5" i="38"/>
  <c r="D5" i="38"/>
  <c r="C5" i="38"/>
  <c r="B5" i="38"/>
  <c r="H3" i="38"/>
  <c r="G3" i="38"/>
  <c r="F3" i="38"/>
  <c r="E3" i="38"/>
  <c r="D3" i="38"/>
  <c r="C3" i="38"/>
  <c r="B3" i="38"/>
  <c r="B1" i="38"/>
  <c r="C13" i="37"/>
  <c r="B13" i="37"/>
  <c r="H11" i="37"/>
  <c r="G11" i="37"/>
  <c r="F11" i="37"/>
  <c r="E11" i="37"/>
  <c r="D11" i="37"/>
  <c r="C11" i="37"/>
  <c r="B11" i="37"/>
  <c r="H9" i="37"/>
  <c r="G9" i="37"/>
  <c r="F9" i="37"/>
  <c r="E9" i="37"/>
  <c r="D9" i="37"/>
  <c r="C9" i="37"/>
  <c r="B9" i="37"/>
  <c r="H7" i="37"/>
  <c r="G7" i="37"/>
  <c r="F7" i="37"/>
  <c r="E7" i="37"/>
  <c r="D7" i="37"/>
  <c r="C7" i="37"/>
  <c r="B7" i="37"/>
  <c r="H5" i="37"/>
  <c r="G5" i="37"/>
  <c r="F5" i="37"/>
  <c r="E5" i="37"/>
  <c r="D5" i="37"/>
  <c r="C5" i="37"/>
  <c r="B5" i="37"/>
  <c r="H3" i="37"/>
  <c r="G3" i="37"/>
  <c r="F3" i="37"/>
  <c r="E3" i="37"/>
  <c r="D3" i="37"/>
  <c r="C3" i="37"/>
  <c r="B3" i="37"/>
  <c r="B1" i="37"/>
  <c r="C13" i="35"/>
  <c r="B13" i="35"/>
  <c r="H11" i="35"/>
  <c r="G11" i="35"/>
  <c r="F11" i="35"/>
  <c r="E11" i="35"/>
  <c r="D11" i="35"/>
  <c r="C11" i="35"/>
  <c r="B11" i="35"/>
  <c r="H9" i="35"/>
  <c r="G9" i="35"/>
  <c r="F9" i="35"/>
  <c r="E9" i="35"/>
  <c r="D9" i="35"/>
  <c r="C9" i="35"/>
  <c r="B9" i="35"/>
  <c r="H7" i="35"/>
  <c r="G7" i="35"/>
  <c r="F7" i="35"/>
  <c r="E7" i="35"/>
  <c r="D7" i="35"/>
  <c r="C7" i="35"/>
  <c r="B7" i="35"/>
  <c r="H5" i="35"/>
  <c r="G5" i="35"/>
  <c r="F5" i="35"/>
  <c r="E5" i="35"/>
  <c r="D5" i="35"/>
  <c r="C5" i="35"/>
  <c r="B5" i="35"/>
  <c r="H3" i="35"/>
  <c r="G3" i="35"/>
  <c r="F3" i="35"/>
  <c r="E3" i="35"/>
  <c r="D3" i="35"/>
  <c r="C3" i="35"/>
  <c r="B3" i="35"/>
  <c r="B1" i="35"/>
  <c r="C11" i="14"/>
  <c r="B11" i="14"/>
  <c r="H9" i="14"/>
  <c r="G9" i="14"/>
  <c r="F9" i="14"/>
  <c r="E9" i="14"/>
  <c r="D9" i="14"/>
  <c r="C9" i="14"/>
  <c r="B9" i="14"/>
  <c r="H7" i="14"/>
  <c r="G7" i="14"/>
  <c r="F7" i="14"/>
  <c r="E7" i="14"/>
  <c r="D7" i="14"/>
  <c r="C7" i="14"/>
  <c r="B7" i="14"/>
  <c r="H5" i="14"/>
  <c r="G5" i="14"/>
  <c r="F5" i="14"/>
  <c r="E5" i="14"/>
  <c r="D5" i="14"/>
  <c r="C5" i="14"/>
  <c r="B5" i="14"/>
  <c r="E11" i="14"/>
  <c r="D11" i="14"/>
  <c r="F11" i="14"/>
  <c r="G11" i="14"/>
  <c r="H11" i="14"/>
  <c r="B13" i="14"/>
  <c r="C13" i="14"/>
  <c r="H3" i="14"/>
  <c r="G3" i="14"/>
  <c r="B3" i="14"/>
  <c r="C3" i="14"/>
  <c r="D3" i="14"/>
  <c r="F3" i="14"/>
  <c r="E3" i="14"/>
  <c r="B1" i="14"/>
</calcChain>
</file>

<file path=xl/comments1.xml><?xml version="1.0" encoding="utf-8"?>
<comments xmlns="http://schemas.openxmlformats.org/spreadsheetml/2006/main">
  <authors>
    <author xml:space="preserve">   </author>
  </authors>
  <commentList>
    <comment ref="L8" authorId="0">
      <text>
        <r>
          <rPr>
            <b/>
            <sz val="9"/>
            <color indexed="81"/>
            <rFont val="Geneva"/>
            <family val="2"/>
          </rPr>
          <t>Cuando hace clic en la celda con el año encima, aparece una lista emergente en la que puede seleccionar el año. Cuando realiza una selección, las hojas del calendario correspondientes a todos los meses de este libro se actualizan automáticamente.
Para cambiar los años disponibles en esa lista, consulte la hoja Lista de búsqueda.
Nota: el calendario se actualiza automáticamente a raíz de las fórmulas que existen en todas las celdas que muestran fechas así como en las que aparecen en blanco en las celdas de filas del calendario que contienen valores de fecha.  Si cambia manualmente el texto de esas celdas, el calendario ya no se podrá actualizar automáticamente.
No obstante, puede escribir texto en las celdas más altas que hay detrás de cada celda de fecha, como donde aparece escrito 'Texto de muestra' en la celda más alta disponible en este calendario.</t>
        </r>
      </text>
    </comment>
    <comment ref="J11" authorId="0">
      <text>
        <r>
          <rPr>
            <b/>
            <sz val="9"/>
            <color indexed="81"/>
            <rFont val="Geneva"/>
            <family val="2"/>
          </rPr>
          <t>Easily apply your own look to this calendar. Personalice fácilmente la apariencia de este calendario. El formato de esta plantilla se basa en temas que le permiten aplicar fuentes, colores y efectos de formato gráfico en todo el libro con tan solo un clic.
Busque temas en la ficha Inicio del grupo Temas. Seleccione entre docenas de temas predefinidos disponibles en la galería Temas o encuentre opciones para cambiar únicamente las fuentes o los colores del tema.</t>
        </r>
      </text>
    </comment>
  </commentList>
</comments>
</file>

<file path=xl/comments2.xml><?xml version="1.0" encoding="utf-8"?>
<comments xmlns="http://schemas.openxmlformats.org/spreadsheetml/2006/main">
  <authors>
    <author xml:space="preserve">   </author>
  </authors>
  <commentList>
    <comment ref="C4" authorId="0">
      <text>
        <r>
          <rPr>
            <b/>
            <sz val="9"/>
            <color indexed="81"/>
            <rFont val="Geneva"/>
            <family val="2"/>
          </rPr>
          <t>Esta lista rellena las opciones que aparecen en la lista desplegable de año de la hoja Enero. Para agregar años adicionales, comience a escribir en la celda situada directamente debajo de la última entrada existente y la lista se expandirá automáticamente.</t>
        </r>
      </text>
    </comment>
  </commentList>
</comments>
</file>

<file path=xl/sharedStrings.xml><?xml version="1.0" encoding="utf-8"?>
<sst xmlns="http://schemas.openxmlformats.org/spreadsheetml/2006/main" count="133" uniqueCount="42">
  <si>
    <t>Lunes</t>
  </si>
  <si>
    <t>Martes</t>
  </si>
  <si>
    <t>Miércoles</t>
  </si>
  <si>
    <t>Jueves</t>
  </si>
  <si>
    <t>Viernes</t>
  </si>
  <si>
    <t>Sábado</t>
  </si>
  <si>
    <t>Domingo</t>
  </si>
  <si>
    <t>Texto de muestra.</t>
  </si>
  <si>
    <t>Notas:</t>
  </si>
  <si>
    <t>Seleccionar año:</t>
  </si>
  <si>
    <t>Año</t>
  </si>
  <si>
    <t>Taiex Workshop on Gender in Science and Innovations 15 y 16 de mayo Ciudad de México. • Participan: Dr. Kennedy Obombo Magio. Instituto Tecnológico de Cancún y Mtro. Carlos Enrique Hernández Tapia. Universidad de Quintana Roo.</t>
  </si>
  <si>
    <t>Reunión de la REMTUR, Sede ITC. Participan miembros CTA y representantes de los equipos de trabajo 2017.</t>
  </si>
  <si>
    <t>Taller participativo para el diseño de una metodología integradora. Sede UADY. Participan miembros CTA y representantes de los equipos de trabajo 2017.</t>
  </si>
  <si>
    <t>Firma de convenio UIMQROO-ITC. Sede Cancún, Quintana Roo.</t>
  </si>
  <si>
    <t>Seminario 'Entre Pares'. Organizado por CONRICYT. Sede Ciudad Juárez, Chihuahua. Asisten: • Asisten Mtra. Arminda Patricia Vargas Tun. Universidad Tecnológica Regional del Sur, Mtra. Brenda Adriana Marín Bolaños. Universidad Tecnológica de Cancún y Dra. Margarita de Abril Navarro Favela.</t>
  </si>
  <si>
    <t>Seminario y firma de convenio de colaboración entre RITURDES y REMTUR. Sede Universidad Atónoma de Nayarit. • Asiste Dra. Margarita de Abril Navarro Favela. Universidad Intercultural Maya de Quintana Roo.</t>
  </si>
  <si>
    <t xml:space="preserve">Conferencia Magistral. Impartida por Mtro. Federico Belloni. Sede UIMQROO. </t>
  </si>
  <si>
    <t xml:space="preserve">Taller de liderazgo juvenil en comunidades mayas, a cargo de la Mtra. María Guillermina Pech Pech. Modalidad: Taller participativo, 19 y 20 de mayo
Hotas:16 horas 
Sede: Instituto Tecnológico Superior de Felipe Carrillo Puerto. 
Participan; estudiantes de 5 IES que están colaborando en los proyectos REMTUR.
</t>
  </si>
  <si>
    <t xml:space="preserve">* Congreso COODTUR. Costa Rica. Participa Dra. Bonnie Lucia Campos Cámara.                                                                             </t>
  </si>
  <si>
    <t xml:space="preserve">El ABC de la Educacíon Ambiental para el Sector Turístico. Impartido por Yareni García y Guillermina Pech. Sede. Universidad Tecnológica de la Riviera Maya. Playa del Carmen, Quintana Roo. </t>
  </si>
  <si>
    <t>Envío Final de Informe Técnico a CONACYT.</t>
  </si>
  <si>
    <t>QUINTO ENCUENTRO INTERNACIONAL DE INVESTIGADORES Y ESTUDIANTES DE TURISMO 2017:“Año Internacional del Turismo Sostenible para el Desarrollo”. Organizadores y Sede: La Universidad de Quintana Roo, a través del Cuerpo Académico en Estudios de Gestión e Interpretación del Turismo "CAEGIT".</t>
  </si>
  <si>
    <t>Última fecha para ejercer los recursos económicos de la REMTUR</t>
  </si>
  <si>
    <t>La Responsable Técnica recibe los entregables por parte de los equipos de trabajo</t>
  </si>
  <si>
    <t>Envío del diseño de  instrumentos por parte de los Miembros CTA y Representantes de los equipos de trabajo.</t>
  </si>
  <si>
    <t>Integración del formulario, una vez que ya se enviaron los instrumentos el día 5 de junio.</t>
  </si>
  <si>
    <t xml:space="preserve">Asiste Dra. Margarita de Abril Navarro Favela (Universidad Intercultural Maya de Quintana Roo) y Dra. Ileana Beatriz Lara Navarrete (Universidad Autónoma de Yucatán). </t>
  </si>
  <si>
    <t>Seminario 'Entre Pares'. Organizado por CONRICYT. Sede Ciudad Juárez, Chihuahua. • Asisten Mtra. Arminda Patricia Vargas Tun. Universidad Tecnológica Regional del Sur, Mtra. Brenda Adriana Marín Bolaños. Universidad Tecnológica de Cancún y Dra. Margarita de Abril Navarro Favela.</t>
  </si>
  <si>
    <t>Se comenzará con el trabajo de llenado de fichas en campo para su pilotaje.</t>
  </si>
  <si>
    <t>Aclaraciones y consenso y se esperarán las contribuciones de los miembros.</t>
  </si>
  <si>
    <t>Se esperará la retro alimentación y resultados del pilotaje.</t>
  </si>
  <si>
    <t>Se subirá la versión final de la ficha para revisión.</t>
  </si>
  <si>
    <t xml:space="preserve">Reunión Red de Redes Temáticas. CONACYT. • Asiste Dra. Margarita de Abril Navarro Favela (Universidad Intercultural Maya de Quintana Roo) y Dra. Ileana Beatriz Lara Navarrete (Universidad Autónoma de Yucatán). </t>
  </si>
  <si>
    <t>Envío de comentarios sobre los instrumentos.</t>
  </si>
  <si>
    <t>La XXIV Semana Nacional de Ciencia y Tecnología se realizará a nivel nacional del 23 al 27 de octubre. En esta edición la sede nacional será la ciudad de San Luis Potosí en donde se realizará el evento del 05 al 11 de octubre. El tema de este año es: La crisis del agua: problemas y soluciones.</t>
  </si>
  <si>
    <t>Se tendrá la versión definitiva de las fichas para su llenado y captura en agosto y septiembre</t>
  </si>
  <si>
    <t xml:space="preserve">Taller para la elaboración del Plan de Negocios. Identificación y diseño organizacional. A cargo del Mtro. Julio Cesar Tun Álvarez. Sede Carrillo Puerto, Instituto Tecnológico Superior de Felipe Carrillo Puerto. </t>
  </si>
  <si>
    <t xml:space="preserve">Reunión de seguimiento Comité técnico Académico, Responsables de entregables 2017 y Representantes de Cuerpos Académicos/Sede Felipe Carrillo Puerto </t>
  </si>
  <si>
    <t>Reunión de seguimiento con los miembros CTA, Responsables de proyectos y Representantes de Cuerpos Académicos 2017. Sede Zoh Laguna, Campeche</t>
  </si>
  <si>
    <t xml:space="preserve">Taller de cartografía social y Taller de integración de datos en un Sistema de Información Geográfico. Sede: Zoh Laguna, Campeche del 21 al 25 de agosto.
• Se acuerda que sea un máximo de 18 personas (serán dos participantes por cada Cuerpo Académico).
</t>
  </si>
  <si>
    <t>Taller elaboración de instrumentos para la planeación, excavación, mapeo y administración de espacios arqueológicos, una metodología aplicable para el estudio de los recursos tangibles. Sede Puerto Morelos del 22 al 24 de 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</si>
</sst>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m\ yyyy"/>
    <numFmt numFmtId="165" formatCode="d"/>
  </numFmts>
  <fonts count="34" x14ac:knownFonts="1">
    <font>
      <sz val="11"/>
      <name val="Century Gothic"/>
      <family val="2"/>
      <scheme val="minor"/>
    </font>
    <font>
      <sz val="8"/>
      <name val="Arial"/>
      <family val="2"/>
    </font>
    <font>
      <sz val="10"/>
      <name val="Century Gothic"/>
      <family val="2"/>
    </font>
    <font>
      <sz val="10"/>
      <name val="Arial"/>
      <family val="2"/>
    </font>
    <font>
      <sz val="10"/>
      <name val="Century Gothic"/>
      <family val="2"/>
      <scheme val="minor"/>
    </font>
    <font>
      <b/>
      <sz val="11"/>
      <color theme="0"/>
      <name val="Century Gothic"/>
      <family val="2"/>
      <scheme val="minor"/>
    </font>
    <font>
      <b/>
      <sz val="14"/>
      <color theme="0"/>
      <name val="Century Gothic"/>
      <family val="2"/>
      <scheme val="minor"/>
    </font>
    <font>
      <b/>
      <sz val="28"/>
      <color theme="1" tint="0.34998626667073579"/>
      <name val="Century Gothic"/>
      <family val="2"/>
      <scheme val="minor"/>
    </font>
    <font>
      <b/>
      <sz val="9"/>
      <color indexed="81"/>
      <name val="Geneva"/>
      <family val="2"/>
    </font>
    <font>
      <sz val="10"/>
      <color indexed="63"/>
      <name val="Century Gothic"/>
      <family val="1"/>
      <scheme val="minor"/>
    </font>
    <font>
      <sz val="8"/>
      <name val="Century Gothic"/>
      <family val="2"/>
      <scheme val="minor"/>
    </font>
    <font>
      <sz val="14"/>
      <color theme="1" tint="0.34998626667073579"/>
      <name val="Century Gothic"/>
      <family val="2"/>
      <scheme val="minor"/>
    </font>
    <font>
      <sz val="11"/>
      <name val="Arial"/>
      <family val="2"/>
    </font>
    <font>
      <u/>
      <sz val="11"/>
      <color theme="10"/>
      <name val="Century Gothic"/>
      <family val="2"/>
      <scheme val="minor"/>
    </font>
    <font>
      <u/>
      <sz val="11"/>
      <color theme="11"/>
      <name val="Century Gothic"/>
      <family val="2"/>
      <scheme val="minor"/>
    </font>
    <font>
      <b/>
      <sz val="11"/>
      <name val="Century Gothic"/>
      <family val="1"/>
      <scheme val="minor"/>
    </font>
    <font>
      <sz val="12"/>
      <name val="Arial"/>
      <family val="2"/>
    </font>
    <font>
      <b/>
      <sz val="12"/>
      <color theme="0"/>
      <name val="Arial"/>
      <family val="2"/>
    </font>
    <font>
      <b/>
      <sz val="12"/>
      <name val="Arial"/>
      <family val="2"/>
    </font>
    <font>
      <sz val="12"/>
      <color indexed="63"/>
      <name val="Arial"/>
      <family val="2"/>
    </font>
    <font>
      <sz val="12"/>
      <name val="Arial"/>
      <family val="2"/>
    </font>
    <font>
      <sz val="12"/>
      <color rgb="FF000000"/>
      <name val="Arial"/>
      <family val="2"/>
    </font>
    <font>
      <b/>
      <sz val="18"/>
      <color theme="0"/>
      <name val="Century Gothic"/>
      <family val="2"/>
      <scheme val="minor"/>
    </font>
    <font>
      <sz val="36"/>
      <name val="Century Gothic"/>
      <family val="1"/>
      <scheme val="major"/>
    </font>
    <font>
      <b/>
      <sz val="36"/>
      <color theme="1" tint="0.34998626667073579"/>
      <name val="Century Gothic"/>
      <family val="1"/>
      <scheme val="major"/>
    </font>
    <font>
      <b/>
      <sz val="36"/>
      <color theme="1" tint="0.34998626667073579"/>
      <name val="Arial"/>
      <family val="2"/>
    </font>
    <font>
      <sz val="18"/>
      <name val="Century Gothic"/>
      <family val="2"/>
    </font>
    <font>
      <sz val="14"/>
      <name val="Century Gothic"/>
      <family val="1"/>
      <scheme val="minor"/>
    </font>
    <font>
      <sz val="10"/>
      <color theme="1"/>
      <name val="Century Gothic"/>
      <family val="1"/>
      <scheme val="minor"/>
    </font>
    <font>
      <sz val="16"/>
      <name val="Century Gothic"/>
      <family val="1"/>
      <scheme val="minor"/>
    </font>
    <font>
      <b/>
      <sz val="11"/>
      <color theme="1"/>
      <name val="Century Gothic"/>
      <family val="2"/>
      <scheme val="minor"/>
    </font>
    <font>
      <sz val="16"/>
      <color theme="1"/>
      <name val="Century Gothic"/>
      <family val="1"/>
      <scheme val="minor"/>
    </font>
    <font>
      <sz val="14"/>
      <color theme="1"/>
      <name val="Century Gothic"/>
      <family val="1"/>
      <scheme val="minor"/>
    </font>
    <font>
      <sz val="14"/>
      <color rgb="FF222222"/>
      <name val="Century Gothic"/>
      <family val="1"/>
      <scheme val="minor"/>
    </font>
  </fonts>
  <fills count="27">
    <fill>
      <patternFill patternType="none"/>
    </fill>
    <fill>
      <patternFill patternType="gray125"/>
    </fill>
    <fill>
      <patternFill patternType="solid">
        <fgColor indexed="9"/>
        <bgColor indexed="64"/>
      </patternFill>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6"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A5B8F0"/>
        <bgColor indexed="64"/>
      </patternFill>
    </fill>
    <fill>
      <patternFill patternType="solid">
        <fgColor theme="2" tint="-0.249977111117893"/>
        <bgColor indexed="64"/>
      </patternFill>
    </fill>
    <fill>
      <patternFill patternType="solid">
        <fgColor rgb="FFA8E1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A693C9"/>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57CE9"/>
        <bgColor indexed="64"/>
      </patternFill>
    </fill>
    <fill>
      <patternFill patternType="solid">
        <fgColor rgb="FFC9E20B"/>
        <bgColor indexed="64"/>
      </patternFill>
    </fill>
    <fill>
      <patternFill patternType="solid">
        <fgColor rgb="FFC9E20B"/>
        <bgColor rgb="FF000000"/>
      </patternFill>
    </fill>
    <fill>
      <patternFill patternType="solid">
        <fgColor rgb="FFDD10FF"/>
        <bgColor indexed="64"/>
      </patternFill>
    </fill>
  </fills>
  <borders count="43">
    <border>
      <left/>
      <right/>
      <top/>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thin">
        <color theme="4" tint="0.39994506668294322"/>
      </left>
      <right style="thin">
        <color theme="4" tint="0.39994506668294322"/>
      </right>
      <top/>
      <bottom style="thin">
        <color theme="4" tint="0.39994506668294322"/>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medium">
        <color theme="4" tint="-0.24994659260841701"/>
      </left>
      <right/>
      <top style="thin">
        <color theme="4" tint="0.39994506668294322"/>
      </top>
      <bottom style="thin">
        <color theme="4" tint="0.39994506668294322"/>
      </bottom>
      <diagonal/>
    </border>
    <border>
      <left style="medium">
        <color theme="4" tint="-0.24994659260841701"/>
      </left>
      <right style="thin">
        <color theme="4" tint="0.39994506668294322"/>
      </right>
      <top style="thin">
        <color theme="4" tint="0.39994506668294322"/>
      </top>
      <bottom/>
      <diagonal/>
    </border>
    <border>
      <left style="medium">
        <color theme="4" tint="-0.24994659260841701"/>
      </left>
      <right style="thin">
        <color theme="4" tint="0.39994506668294322"/>
      </right>
      <top/>
      <bottom style="thin">
        <color theme="4" tint="0.39994506668294322"/>
      </bottom>
      <diagonal/>
    </border>
    <border>
      <left style="thin">
        <color theme="4" tint="0.39994506668294322"/>
      </left>
      <right style="medium">
        <color theme="4" tint="-0.24994659260841701"/>
      </right>
      <top style="thin">
        <color theme="4" tint="0.39994506668294322"/>
      </top>
      <bottom/>
      <diagonal/>
    </border>
    <border>
      <left style="thin">
        <color theme="4" tint="0.39994506668294322"/>
      </left>
      <right style="thin">
        <color theme="4" tint="0.39994506668294322"/>
      </right>
      <top/>
      <bottom/>
      <diagonal/>
    </border>
    <border>
      <left style="thin">
        <color theme="4" tint="0.39994506668294322"/>
      </left>
      <right style="medium">
        <color theme="4" tint="-0.24994659260841701"/>
      </right>
      <top/>
      <bottom/>
      <diagonal/>
    </border>
    <border>
      <left/>
      <right style="medium">
        <color theme="4" tint="-0.24994659260841701"/>
      </right>
      <top style="thin">
        <color theme="4" tint="0.39994506668294322"/>
      </top>
      <bottom style="thin">
        <color theme="4" tint="0.399945066682943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4" tint="-0.24994659260841701"/>
      </left>
      <right style="thin">
        <color theme="4" tint="0.39994506668294322"/>
      </right>
      <top/>
      <bottom/>
      <diagonal/>
    </border>
    <border>
      <left/>
      <right/>
      <top/>
      <bottom style="medium">
        <color theme="4" tint="-0.24994659260841701"/>
      </bottom>
      <diagonal/>
    </border>
    <border>
      <left style="thin">
        <color auto="1"/>
      </left>
      <right/>
      <top/>
      <bottom style="thin">
        <color auto="1"/>
      </bottom>
      <diagonal/>
    </border>
    <border>
      <left/>
      <right/>
      <top/>
      <bottom style="thin">
        <color auto="1"/>
      </bottom>
      <diagonal/>
    </border>
    <border>
      <left/>
      <right style="medium">
        <color theme="4" tint="-0.24994659260841701"/>
      </right>
      <top/>
      <bottom style="thin">
        <color auto="1"/>
      </bottom>
      <diagonal/>
    </border>
    <border>
      <left/>
      <right style="thin">
        <color theme="4" tint="0.39994506668294322"/>
      </right>
      <top style="thin">
        <color theme="4" tint="0.39994506668294322"/>
      </top>
      <bottom/>
      <diagonal/>
    </border>
    <border>
      <left/>
      <right style="thin">
        <color rgb="FF000000"/>
      </right>
      <top style="thin">
        <color auto="1"/>
      </top>
      <bottom style="thin">
        <color auto="1"/>
      </bottom>
      <diagonal/>
    </border>
    <border>
      <left style="thin">
        <color auto="1"/>
      </left>
      <right style="thin">
        <color auto="1"/>
      </right>
      <top/>
      <bottom style="thin">
        <color auto="1"/>
      </bottom>
      <diagonal/>
    </border>
    <border>
      <left style="thin">
        <color theme="4" tint="0.39994506668294322"/>
      </left>
      <right/>
      <top/>
      <bottom style="thin">
        <color theme="4" tint="0.39994506668294322"/>
      </bottom>
      <diagonal/>
    </border>
    <border>
      <left/>
      <right/>
      <top/>
      <bottom style="thin">
        <color theme="4" tint="0.39994506668294322"/>
      </bottom>
      <diagonal/>
    </border>
    <border>
      <left style="thin">
        <color auto="1"/>
      </left>
      <right style="thin">
        <color auto="1"/>
      </right>
      <top style="thin">
        <color auto="1"/>
      </top>
      <bottom/>
      <diagonal/>
    </border>
  </borders>
  <cellStyleXfs count="69">
    <xf numFmtId="0" fontId="0" fillId="0" borderId="0"/>
    <xf numFmtId="0" fontId="9" fillId="3" borderId="0" applyNumberFormat="0" applyBorder="0" applyAlignment="0" applyProtection="0"/>
    <xf numFmtId="0" fontId="7" fillId="0" borderId="0" applyNumberFormat="0" applyFill="0" applyAlignment="0" applyProtection="0"/>
    <xf numFmtId="0" fontId="5" fillId="4" borderId="3" applyNumberFormat="0" applyAlignment="0" applyProtection="0"/>
    <xf numFmtId="0" fontId="6" fillId="5" borderId="4" applyNumberFormat="0" applyProtection="0">
      <alignment vertical="center"/>
    </xf>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79">
    <xf numFmtId="0" fontId="0" fillId="0" borderId="0" xfId="0"/>
    <xf numFmtId="0" fontId="0" fillId="2" borderId="0" xfId="0" applyFill="1"/>
    <xf numFmtId="0" fontId="2" fillId="2" borderId="0" xfId="0" applyFont="1" applyFill="1"/>
    <xf numFmtId="0" fontId="2" fillId="0" borderId="0" xfId="0" applyFont="1"/>
    <xf numFmtId="0" fontId="3" fillId="0" borderId="0" xfId="0" applyFont="1"/>
    <xf numFmtId="0" fontId="0" fillId="0" borderId="0" xfId="0"/>
    <xf numFmtId="0" fontId="0" fillId="0" borderId="0" xfId="0" applyFill="1"/>
    <xf numFmtId="165" fontId="0" fillId="0" borderId="3" xfId="0" applyNumberFormat="1"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5" fillId="4" borderId="6" xfId="3" applyBorder="1" applyAlignment="1">
      <alignment horizontal="center" vertical="center"/>
    </xf>
    <xf numFmtId="0" fontId="5" fillId="4" borderId="7" xfId="3" applyBorder="1" applyAlignment="1">
      <alignment horizontal="center" vertical="center"/>
    </xf>
    <xf numFmtId="0" fontId="5" fillId="4" borderId="8" xfId="3" applyBorder="1" applyAlignment="1">
      <alignment horizontal="center" vertical="center"/>
    </xf>
    <xf numFmtId="165" fontId="0" fillId="0" borderId="9" xfId="0" applyNumberFormat="1" applyFont="1" applyFill="1" applyBorder="1" applyAlignment="1">
      <alignment horizontal="left" vertical="center" wrapText="1" indent="1"/>
    </xf>
    <xf numFmtId="165" fontId="0" fillId="0" borderId="10" xfId="0" applyNumberFormat="1" applyFont="1" applyFill="1" applyBorder="1" applyAlignment="1">
      <alignment horizontal="left" vertical="center" wrapText="1" indent="1"/>
    </xf>
    <xf numFmtId="0" fontId="4" fillId="0" borderId="13"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9" fillId="3" borderId="3" xfId="1" applyBorder="1" applyAlignment="1">
      <alignment horizontal="left" vertical="center" wrapText="1" indent="1"/>
    </xf>
    <xf numFmtId="0" fontId="9" fillId="3" borderId="10" xfId="1" applyBorder="1" applyAlignment="1">
      <alignment horizontal="left" vertical="center" wrapText="1" indent="1"/>
    </xf>
    <xf numFmtId="0" fontId="4" fillId="0" borderId="12" xfId="0" applyFont="1" applyFill="1" applyBorder="1" applyAlignment="1">
      <alignment horizontal="left" vertical="center" wrapText="1" indent="1"/>
    </xf>
    <xf numFmtId="0" fontId="11" fillId="3" borderId="1" xfId="1" applyFont="1" applyBorder="1" applyAlignment="1">
      <alignment horizontal="right" vertical="center" wrapText="1"/>
    </xf>
    <xf numFmtId="0" fontId="11" fillId="3" borderId="2" xfId="1" applyFont="1" applyBorder="1" applyAlignment="1">
      <alignment vertical="center"/>
    </xf>
    <xf numFmtId="0" fontId="12" fillId="0" borderId="0" xfId="0" applyFont="1"/>
    <xf numFmtId="165" fontId="15" fillId="0" borderId="9" xfId="0" applyNumberFormat="1" applyFont="1" applyFill="1" applyBorder="1" applyAlignment="1">
      <alignment horizontal="left" vertical="center" wrapText="1" indent="1"/>
    </xf>
    <xf numFmtId="165" fontId="15" fillId="0" borderId="3" xfId="0" applyNumberFormat="1" applyFont="1" applyFill="1" applyBorder="1" applyAlignment="1">
      <alignment horizontal="left" vertical="center" wrapText="1" indent="1"/>
    </xf>
    <xf numFmtId="165" fontId="15" fillId="0" borderId="10" xfId="0" applyNumberFormat="1" applyFont="1" applyFill="1" applyBorder="1" applyAlignment="1">
      <alignment horizontal="left" vertical="center" wrapText="1" indent="1"/>
    </xf>
    <xf numFmtId="0" fontId="16" fillId="2" borderId="0" xfId="0" applyFont="1" applyFill="1"/>
    <xf numFmtId="0" fontId="16" fillId="0" borderId="0" xfId="0" applyFont="1"/>
    <xf numFmtId="165" fontId="16" fillId="0" borderId="9" xfId="0" applyNumberFormat="1" applyFont="1" applyFill="1" applyBorder="1" applyAlignment="1">
      <alignment horizontal="left" vertical="center" wrapText="1" indent="1"/>
    </xf>
    <xf numFmtId="165" fontId="16" fillId="0" borderId="3" xfId="0" applyNumberFormat="1" applyFont="1" applyFill="1" applyBorder="1" applyAlignment="1">
      <alignment horizontal="left" vertical="center" wrapText="1" indent="1"/>
    </xf>
    <xf numFmtId="165" fontId="18" fillId="0" borderId="3" xfId="0" applyNumberFormat="1" applyFont="1" applyFill="1" applyBorder="1" applyAlignment="1">
      <alignment horizontal="left" vertical="center" wrapText="1" indent="1"/>
    </xf>
    <xf numFmtId="165" fontId="18" fillId="0" borderId="10" xfId="0" applyNumberFormat="1" applyFont="1" applyFill="1" applyBorder="1" applyAlignment="1">
      <alignment horizontal="left" vertical="center" wrapText="1" indent="1"/>
    </xf>
    <xf numFmtId="0" fontId="16" fillId="0" borderId="9" xfId="0" applyFont="1" applyFill="1" applyBorder="1" applyAlignment="1">
      <alignment horizontal="left" vertical="center" wrapText="1" indent="1"/>
    </xf>
    <xf numFmtId="0" fontId="16" fillId="0" borderId="3" xfId="0" applyFont="1" applyFill="1" applyBorder="1" applyAlignment="1">
      <alignment horizontal="left" vertical="center" wrapText="1" indent="1"/>
    </xf>
    <xf numFmtId="0" fontId="19" fillId="3" borderId="3" xfId="1" applyFont="1" applyBorder="1" applyAlignment="1">
      <alignment horizontal="left" vertical="center" wrapText="1" indent="1"/>
    </xf>
    <xf numFmtId="0" fontId="19" fillId="3" borderId="10" xfId="1" applyFont="1" applyBorder="1" applyAlignment="1">
      <alignment horizontal="left" vertical="center" wrapText="1" indent="1"/>
    </xf>
    <xf numFmtId="165" fontId="18" fillId="0" borderId="9" xfId="0" applyNumberFormat="1" applyFont="1" applyFill="1" applyBorder="1" applyAlignment="1">
      <alignment horizontal="left" vertical="center" wrapText="1" indent="1"/>
    </xf>
    <xf numFmtId="0" fontId="16" fillId="0" borderId="12" xfId="0" applyFont="1" applyFill="1" applyBorder="1" applyAlignment="1">
      <alignment horizontal="left" vertical="center" wrapText="1" indent="1"/>
    </xf>
    <xf numFmtId="0" fontId="16" fillId="0" borderId="13" xfId="0" applyFont="1" applyFill="1" applyBorder="1" applyAlignment="1">
      <alignment horizontal="left" vertical="center" wrapText="1" indent="1"/>
    </xf>
    <xf numFmtId="0" fontId="5" fillId="4" borderId="28" xfId="3" applyBorder="1" applyAlignment="1">
      <alignment horizontal="center" vertical="center"/>
    </xf>
    <xf numFmtId="165" fontId="0" fillId="0" borderId="28" xfId="0" applyNumberFormat="1"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9" fillId="3" borderId="28" xfId="1" applyBorder="1" applyAlignment="1">
      <alignment horizontal="left" vertical="center" wrapText="1" indent="1"/>
    </xf>
    <xf numFmtId="165" fontId="0" fillId="0" borderId="20" xfId="0" applyNumberFormat="1" applyFont="1" applyFill="1" applyBorder="1" applyAlignment="1">
      <alignment horizontal="left" vertical="center" wrapText="1" indent="1"/>
    </xf>
    <xf numFmtId="0" fontId="19" fillId="0" borderId="3" xfId="1" applyFont="1" applyFill="1" applyBorder="1" applyAlignment="1">
      <alignment horizontal="left" vertical="center" wrapText="1" indent="1"/>
    </xf>
    <xf numFmtId="0" fontId="20" fillId="0" borderId="3" xfId="0" applyFont="1" applyFill="1" applyBorder="1" applyAlignment="1">
      <alignment horizontal="left" vertical="center" wrapText="1" indent="1"/>
    </xf>
    <xf numFmtId="0" fontId="22" fillId="13" borderId="6" xfId="3" applyFont="1" applyFill="1" applyBorder="1" applyAlignment="1">
      <alignment horizontal="center" vertical="center"/>
    </xf>
    <xf numFmtId="0" fontId="22" fillId="13" borderId="7" xfId="3" applyFont="1" applyFill="1" applyBorder="1" applyAlignment="1">
      <alignment horizontal="center" vertical="center"/>
    </xf>
    <xf numFmtId="0" fontId="22" fillId="13" borderId="8" xfId="3" applyFont="1" applyFill="1" applyBorder="1" applyAlignment="1">
      <alignment horizontal="center" vertical="center"/>
    </xf>
    <xf numFmtId="165" fontId="18" fillId="0" borderId="20" xfId="0" applyNumberFormat="1" applyFont="1" applyFill="1" applyBorder="1" applyAlignment="1">
      <alignment horizontal="left" vertical="center" wrapText="1" indent="1"/>
    </xf>
    <xf numFmtId="165" fontId="18" fillId="0" borderId="22" xfId="0" applyNumberFormat="1" applyFont="1" applyFill="1" applyBorder="1" applyAlignment="1">
      <alignment horizontal="left" vertical="center" wrapText="1" indent="1"/>
    </xf>
    <xf numFmtId="165" fontId="18" fillId="0" borderId="24" xfId="0" applyNumberFormat="1" applyFont="1" applyFill="1" applyBorder="1" applyAlignment="1">
      <alignment horizontal="left" vertical="center" wrapText="1" indent="1"/>
    </xf>
    <xf numFmtId="0" fontId="16" fillId="0" borderId="28" xfId="0" applyFont="1" applyFill="1" applyBorder="1" applyAlignment="1">
      <alignment horizontal="left" vertical="center" wrapText="1" indent="1"/>
    </xf>
    <xf numFmtId="165" fontId="18" fillId="0" borderId="28" xfId="0" applyNumberFormat="1" applyFont="1" applyFill="1" applyBorder="1" applyAlignment="1">
      <alignment horizontal="left" vertical="center" wrapText="1" indent="1"/>
    </xf>
    <xf numFmtId="0" fontId="16" fillId="2" borderId="28" xfId="0" applyFont="1" applyFill="1" applyBorder="1" applyAlignment="1">
      <alignment horizontal="left" vertical="center" wrapText="1" indent="1"/>
    </xf>
    <xf numFmtId="0" fontId="19" fillId="0" borderId="28" xfId="1" applyFont="1" applyFill="1" applyBorder="1" applyAlignment="1">
      <alignment horizontal="left" vertical="center" wrapText="1" indent="1"/>
    </xf>
    <xf numFmtId="165" fontId="16" fillId="0" borderId="28" xfId="0" applyNumberFormat="1" applyFont="1" applyFill="1" applyBorder="1" applyAlignment="1">
      <alignment horizontal="left" vertical="center" wrapText="1" indent="1"/>
    </xf>
    <xf numFmtId="0" fontId="18" fillId="2" borderId="28" xfId="0" applyFont="1" applyFill="1" applyBorder="1" applyAlignment="1">
      <alignment horizontal="left" vertical="center" wrapText="1" indent="1"/>
    </xf>
    <xf numFmtId="165" fontId="17" fillId="9" borderId="28" xfId="3" applyNumberFormat="1" applyFont="1" applyFill="1" applyBorder="1" applyAlignment="1">
      <alignment horizontal="left" vertical="center" wrapText="1"/>
    </xf>
    <xf numFmtId="0" fontId="21" fillId="0" borderId="28" xfId="0" applyFont="1" applyFill="1" applyBorder="1" applyAlignment="1">
      <alignment vertical="center"/>
    </xf>
    <xf numFmtId="0" fontId="19" fillId="0" borderId="10" xfId="1" applyFont="1" applyFill="1" applyBorder="1" applyAlignment="1">
      <alignment horizontal="left" vertical="center" wrapText="1" indent="1"/>
    </xf>
    <xf numFmtId="165" fontId="18" fillId="0" borderId="23" xfId="0" applyNumberFormat="1" applyFont="1" applyFill="1" applyBorder="1" applyAlignment="1">
      <alignment horizontal="left" vertical="center" wrapText="1" indent="1"/>
    </xf>
    <xf numFmtId="165" fontId="18" fillId="0" borderId="5" xfId="0" applyNumberFormat="1" applyFont="1" applyFill="1" applyBorder="1" applyAlignment="1">
      <alignment horizontal="left" vertical="center" wrapText="1" indent="1"/>
    </xf>
    <xf numFmtId="165" fontId="18" fillId="0" borderId="32" xfId="0" applyNumberFormat="1" applyFont="1" applyFill="1" applyBorder="1" applyAlignment="1">
      <alignment horizontal="left" vertical="center" wrapText="1" indent="1"/>
    </xf>
    <xf numFmtId="165" fontId="18" fillId="0" borderId="25" xfId="0" applyNumberFormat="1" applyFont="1" applyFill="1" applyBorder="1" applyAlignment="1">
      <alignment horizontal="left" vertical="center" wrapText="1" indent="1"/>
    </xf>
    <xf numFmtId="165" fontId="18" fillId="0" borderId="26" xfId="0" applyNumberFormat="1" applyFont="1" applyFill="1" applyBorder="1" applyAlignment="1">
      <alignment horizontal="left" vertical="center" wrapText="1" indent="1"/>
    </xf>
    <xf numFmtId="165" fontId="16" fillId="0" borderId="5" xfId="0" applyNumberFormat="1" applyFont="1" applyFill="1" applyBorder="1" applyAlignment="1">
      <alignment horizontal="left" vertical="center" wrapText="1" indent="1"/>
    </xf>
    <xf numFmtId="165" fontId="16" fillId="0" borderId="11" xfId="0" applyNumberFormat="1" applyFont="1" applyFill="1" applyBorder="1" applyAlignment="1">
      <alignment horizontal="left" vertical="center" wrapText="1" indent="1"/>
    </xf>
    <xf numFmtId="0" fontId="9" fillId="3" borderId="19" xfId="1" applyBorder="1" applyAlignment="1">
      <alignment horizontal="left" vertical="center" wrapText="1" indent="1"/>
    </xf>
    <xf numFmtId="0" fontId="23" fillId="2" borderId="0" xfId="0" applyFont="1" applyFill="1"/>
    <xf numFmtId="0" fontId="18" fillId="0" borderId="28" xfId="0" applyFont="1" applyFill="1" applyBorder="1" applyAlignment="1">
      <alignment vertical="center"/>
    </xf>
    <xf numFmtId="0" fontId="16" fillId="0" borderId="28" xfId="0" applyFont="1" applyFill="1" applyBorder="1" applyAlignment="1">
      <alignment vertical="center"/>
    </xf>
    <xf numFmtId="0" fontId="26" fillId="2" borderId="0" xfId="0" applyFont="1" applyFill="1"/>
    <xf numFmtId="0" fontId="22" fillId="4" borderId="6" xfId="3" applyFont="1" applyBorder="1" applyAlignment="1">
      <alignment horizontal="center" vertical="center"/>
    </xf>
    <xf numFmtId="0" fontId="22" fillId="4" borderId="7" xfId="3" applyFont="1" applyBorder="1" applyAlignment="1">
      <alignment horizontal="center" vertical="center"/>
    </xf>
    <xf numFmtId="0" fontId="22" fillId="4" borderId="8" xfId="3" applyFont="1" applyBorder="1" applyAlignment="1">
      <alignment horizontal="center" vertical="center"/>
    </xf>
    <xf numFmtId="0" fontId="26" fillId="0" borderId="0" xfId="0" applyFont="1"/>
    <xf numFmtId="0" fontId="16" fillId="0" borderId="31" xfId="0" applyFont="1" applyFill="1" applyBorder="1" applyAlignment="1">
      <alignment horizontal="left" vertical="center" wrapText="1" indent="1"/>
    </xf>
    <xf numFmtId="165" fontId="0" fillId="0" borderId="22" xfId="0" applyNumberFormat="1" applyFont="1" applyFill="1" applyBorder="1" applyAlignment="1">
      <alignment horizontal="left" vertical="center" wrapText="1" indent="1"/>
    </xf>
    <xf numFmtId="165" fontId="0" fillId="0" borderId="23" xfId="0" applyNumberFormat="1" applyFont="1" applyFill="1" applyBorder="1" applyAlignment="1">
      <alignment horizontal="left" vertical="center" wrapText="1" indent="1"/>
    </xf>
    <xf numFmtId="0" fontId="0" fillId="11" borderId="3" xfId="0" applyFont="1" applyFill="1" applyBorder="1" applyAlignment="1">
      <alignment vertical="top" wrapText="1"/>
    </xf>
    <xf numFmtId="0" fontId="0" fillId="15" borderId="3" xfId="0" applyFont="1" applyFill="1" applyBorder="1" applyAlignment="1">
      <alignment vertical="top" wrapText="1"/>
    </xf>
    <xf numFmtId="0" fontId="0" fillId="7" borderId="9" xfId="0" applyFont="1" applyFill="1" applyBorder="1" applyAlignment="1">
      <alignment horizontal="left" vertical="center" wrapText="1" indent="1"/>
    </xf>
    <xf numFmtId="0" fontId="4" fillId="9" borderId="13" xfId="0" applyFont="1" applyFill="1" applyBorder="1" applyAlignment="1">
      <alignment horizontal="left" vertical="center" wrapText="1" indent="1"/>
    </xf>
    <xf numFmtId="0" fontId="28" fillId="7" borderId="3" xfId="1" applyFont="1" applyFill="1" applyBorder="1" applyAlignment="1">
      <alignment horizontal="left" vertical="center" wrapText="1" indent="1"/>
    </xf>
    <xf numFmtId="0" fontId="4" fillId="2" borderId="19" xfId="0" applyFont="1" applyFill="1" applyBorder="1" applyAlignment="1">
      <alignment horizontal="left" vertical="center" wrapText="1" indent="1"/>
    </xf>
    <xf numFmtId="165" fontId="0" fillId="0" borderId="5" xfId="0" applyNumberFormat="1" applyFont="1" applyFill="1" applyBorder="1" applyAlignment="1">
      <alignment horizontal="left" vertical="center" wrapText="1" indent="1"/>
    </xf>
    <xf numFmtId="0" fontId="0" fillId="12" borderId="28" xfId="0" applyFont="1" applyFill="1" applyBorder="1" applyAlignment="1">
      <alignment horizontal="left" vertical="center" wrapText="1" indent="1"/>
    </xf>
    <xf numFmtId="0" fontId="16" fillId="0" borderId="23" xfId="0" applyFont="1" applyFill="1" applyBorder="1" applyAlignment="1">
      <alignment horizontal="left" vertical="center" wrapText="1" indent="1"/>
    </xf>
    <xf numFmtId="0" fontId="16" fillId="0" borderId="5" xfId="0" applyFont="1" applyFill="1" applyBorder="1" applyAlignment="1">
      <alignment horizontal="left" vertical="center" wrapText="1" indent="1"/>
    </xf>
    <xf numFmtId="0" fontId="19" fillId="3" borderId="5" xfId="1" applyFont="1" applyBorder="1" applyAlignment="1">
      <alignment horizontal="left" vertical="center" wrapText="1" indent="1"/>
    </xf>
    <xf numFmtId="165" fontId="18" fillId="0" borderId="28" xfId="0" applyNumberFormat="1" applyFont="1" applyFill="1" applyBorder="1" applyAlignment="1">
      <alignment vertical="center"/>
    </xf>
    <xf numFmtId="165" fontId="0" fillId="0" borderId="24" xfId="0" applyNumberFormat="1" applyFont="1" applyFill="1" applyBorder="1" applyAlignment="1">
      <alignment horizontal="left" vertical="center" wrapText="1" indent="1"/>
    </xf>
    <xf numFmtId="165" fontId="0" fillId="0" borderId="11" xfId="0" applyNumberFormat="1" applyFont="1" applyFill="1" applyBorder="1" applyAlignment="1">
      <alignment horizontal="left" vertical="center" wrapText="1" indent="1"/>
    </xf>
    <xf numFmtId="0" fontId="0" fillId="9" borderId="28" xfId="0" applyFont="1" applyFill="1" applyBorder="1" applyAlignment="1">
      <alignment vertical="top" wrapText="1"/>
    </xf>
    <xf numFmtId="0" fontId="16" fillId="0" borderId="22" xfId="0" applyFont="1" applyFill="1" applyBorder="1" applyAlignment="1">
      <alignment horizontal="left" vertical="center" wrapText="1" indent="1"/>
    </xf>
    <xf numFmtId="0" fontId="16" fillId="0" borderId="20" xfId="0" applyFont="1" applyFill="1" applyBorder="1" applyAlignment="1">
      <alignment horizontal="left" vertical="center" wrapText="1" indent="1"/>
    </xf>
    <xf numFmtId="0" fontId="16" fillId="2" borderId="20" xfId="0" applyFont="1" applyFill="1" applyBorder="1" applyAlignment="1">
      <alignment horizontal="left" vertical="center" wrapText="1" indent="1"/>
    </xf>
    <xf numFmtId="165" fontId="18" fillId="0" borderId="37" xfId="0" applyNumberFormat="1" applyFont="1" applyFill="1" applyBorder="1" applyAlignment="1">
      <alignment horizontal="left" vertical="center" wrapText="1" indent="1"/>
    </xf>
    <xf numFmtId="0" fontId="16" fillId="0" borderId="39" xfId="0" applyFont="1" applyFill="1" applyBorder="1" applyAlignment="1">
      <alignment vertical="center"/>
    </xf>
    <xf numFmtId="165" fontId="0" fillId="0" borderId="28" xfId="0" applyNumberFormat="1" applyFont="1" applyFill="1" applyBorder="1" applyAlignment="1">
      <alignment vertical="center" wrapText="1"/>
    </xf>
    <xf numFmtId="0" fontId="29" fillId="9" borderId="28" xfId="0" applyFont="1" applyFill="1" applyBorder="1" applyAlignment="1">
      <alignment vertical="center" wrapText="1"/>
    </xf>
    <xf numFmtId="0" fontId="30" fillId="9" borderId="28" xfId="3" applyFont="1" applyFill="1" applyBorder="1" applyAlignment="1">
      <alignment vertical="center" wrapText="1"/>
    </xf>
    <xf numFmtId="0" fontId="27" fillId="17" borderId="17" xfId="0" applyFont="1" applyFill="1" applyBorder="1" applyAlignment="1">
      <alignment horizontal="left" vertical="top" wrapText="1" indent="1"/>
    </xf>
    <xf numFmtId="0" fontId="27" fillId="10" borderId="9" xfId="0" applyFont="1" applyFill="1" applyBorder="1" applyAlignment="1">
      <alignment horizontal="left" vertical="top" wrapText="1" indent="1"/>
    </xf>
    <xf numFmtId="0" fontId="27" fillId="6" borderId="9" xfId="0" applyFont="1" applyFill="1" applyBorder="1" applyAlignment="1">
      <alignment horizontal="left" vertical="top" wrapText="1" indent="1"/>
    </xf>
    <xf numFmtId="165" fontId="27" fillId="18" borderId="3" xfId="0" applyNumberFormat="1" applyFont="1" applyFill="1" applyBorder="1" applyAlignment="1">
      <alignment vertical="top" wrapText="1"/>
    </xf>
    <xf numFmtId="0" fontId="27" fillId="7" borderId="9" xfId="0" applyFont="1" applyFill="1" applyBorder="1" applyAlignment="1">
      <alignment horizontal="left" vertical="top" wrapText="1" indent="1"/>
    </xf>
    <xf numFmtId="0" fontId="27" fillId="12" borderId="9" xfId="0" applyFont="1" applyFill="1" applyBorder="1" applyAlignment="1">
      <alignment vertical="top" wrapText="1"/>
    </xf>
    <xf numFmtId="0" fontId="33" fillId="12" borderId="28" xfId="0" applyFont="1" applyFill="1" applyBorder="1" applyAlignment="1">
      <alignment horizontal="left" vertical="top" wrapText="1"/>
    </xf>
    <xf numFmtId="0" fontId="33" fillId="12" borderId="0" xfId="0" applyFont="1" applyFill="1" applyAlignment="1">
      <alignment vertical="top" wrapText="1"/>
    </xf>
    <xf numFmtId="0" fontId="27" fillId="23" borderId="23" xfId="0" applyFont="1" applyFill="1" applyBorder="1" applyAlignment="1">
      <alignment horizontal="center" vertical="center" wrapText="1"/>
    </xf>
    <xf numFmtId="0" fontId="27" fillId="12" borderId="28" xfId="0" applyFont="1" applyFill="1" applyBorder="1" applyAlignment="1">
      <alignment vertical="top" wrapText="1"/>
    </xf>
    <xf numFmtId="0" fontId="31" fillId="26" borderId="5" xfId="0" applyFont="1" applyFill="1" applyBorder="1" applyAlignment="1">
      <alignment horizontal="left" vertical="center" wrapText="1" indent="1"/>
    </xf>
    <xf numFmtId="0" fontId="31" fillId="26" borderId="28" xfId="1" applyFont="1" applyFill="1" applyBorder="1" applyAlignment="1">
      <alignment horizontal="left" vertical="center" wrapText="1" indent="1"/>
    </xf>
    <xf numFmtId="0" fontId="31" fillId="26" borderId="3" xfId="0" applyFont="1" applyFill="1" applyBorder="1" applyAlignment="1">
      <alignment horizontal="left" vertical="center" wrapText="1" indent="1"/>
    </xf>
    <xf numFmtId="164" fontId="7" fillId="2" borderId="0" xfId="2" applyNumberFormat="1" applyFill="1" applyAlignment="1">
      <alignment horizontal="center" vertical="center"/>
    </xf>
    <xf numFmtId="0" fontId="5" fillId="4" borderId="14" xfId="3" applyBorder="1" applyAlignment="1">
      <alignment horizontal="left" vertical="center" wrapText="1"/>
    </xf>
    <xf numFmtId="0" fontId="5" fillId="4" borderId="15" xfId="3" applyBorder="1" applyAlignment="1">
      <alignment horizontal="left" vertical="center" wrapText="1"/>
    </xf>
    <xf numFmtId="0" fontId="5" fillId="4" borderId="16" xfId="3" applyBorder="1" applyAlignment="1">
      <alignment horizontal="left" vertical="center" wrapText="1"/>
    </xf>
    <xf numFmtId="165" fontId="5" fillId="4" borderId="5" xfId="3" applyNumberFormat="1" applyBorder="1" applyAlignment="1">
      <alignment horizontal="left" vertical="center" wrapText="1"/>
    </xf>
    <xf numFmtId="165" fontId="5" fillId="4" borderId="11" xfId="3" applyNumberFormat="1" applyBorder="1" applyAlignment="1">
      <alignment horizontal="left" vertical="center" wrapText="1"/>
    </xf>
    <xf numFmtId="0" fontId="27" fillId="8" borderId="21" xfId="0" applyFont="1" applyFill="1" applyBorder="1" applyAlignment="1">
      <alignment horizontal="left" vertical="top" wrapText="1"/>
    </xf>
    <xf numFmtId="0" fontId="27" fillId="8" borderId="19" xfId="0" applyFont="1" applyFill="1" applyBorder="1" applyAlignment="1">
      <alignment horizontal="left" vertical="top" wrapText="1"/>
    </xf>
    <xf numFmtId="0" fontId="27" fillId="16" borderId="17" xfId="0" applyFont="1" applyFill="1" applyBorder="1" applyAlignment="1">
      <alignment horizontal="left" vertical="center" wrapText="1"/>
    </xf>
    <xf numFmtId="0" fontId="27" fillId="16" borderId="19" xfId="0" applyFont="1" applyFill="1" applyBorder="1" applyAlignment="1">
      <alignment horizontal="left" vertical="center" wrapText="1"/>
    </xf>
    <xf numFmtId="165" fontId="5" fillId="4" borderId="17" xfId="3" applyNumberFormat="1" applyBorder="1" applyAlignment="1">
      <alignment horizontal="left" vertical="center" wrapText="1"/>
    </xf>
    <xf numFmtId="165" fontId="5" fillId="4" borderId="18" xfId="3" applyNumberFormat="1" applyBorder="1" applyAlignment="1">
      <alignment horizontal="left" vertical="center" wrapText="1"/>
    </xf>
    <xf numFmtId="165" fontId="5" fillId="4" borderId="27" xfId="3" applyNumberFormat="1" applyBorder="1" applyAlignment="1">
      <alignment horizontal="left" vertical="center" wrapText="1"/>
    </xf>
    <xf numFmtId="0" fontId="27" fillId="14" borderId="17" xfId="0" applyFont="1" applyFill="1" applyBorder="1" applyAlignment="1">
      <alignment horizontal="left" vertical="center" wrapText="1"/>
    </xf>
    <xf numFmtId="0" fontId="27" fillId="14" borderId="18" xfId="0" applyFont="1" applyFill="1" applyBorder="1" applyAlignment="1">
      <alignment horizontal="left" vertical="center" wrapText="1"/>
    </xf>
    <xf numFmtId="0" fontId="27" fillId="14" borderId="19" xfId="0" applyFont="1" applyFill="1" applyBorder="1" applyAlignment="1">
      <alignment horizontal="left" vertical="center" wrapText="1"/>
    </xf>
    <xf numFmtId="165" fontId="5" fillId="4" borderId="28" xfId="3" applyNumberFormat="1" applyBorder="1" applyAlignment="1">
      <alignment horizontal="left" vertical="center" wrapText="1"/>
    </xf>
    <xf numFmtId="0" fontId="5" fillId="4" borderId="28" xfId="3" applyBorder="1" applyAlignment="1">
      <alignment horizontal="left" vertical="center" wrapText="1"/>
    </xf>
    <xf numFmtId="0" fontId="27" fillId="7" borderId="34" xfId="0" applyFont="1" applyFill="1" applyBorder="1" applyAlignment="1">
      <alignment horizontal="left" vertical="center" wrapText="1"/>
    </xf>
    <xf numFmtId="0" fontId="27" fillId="7" borderId="35" xfId="0" applyFont="1" applyFill="1" applyBorder="1" applyAlignment="1">
      <alignment horizontal="left" vertical="center" wrapText="1"/>
    </xf>
    <xf numFmtId="0" fontId="27" fillId="7" borderId="36" xfId="0" applyFont="1" applyFill="1" applyBorder="1" applyAlignment="1">
      <alignment horizontal="left" vertical="center" wrapText="1"/>
    </xf>
    <xf numFmtId="0" fontId="27" fillId="17" borderId="29" xfId="0" applyFont="1" applyFill="1" applyBorder="1" applyAlignment="1">
      <alignment horizontal="left" vertical="center" wrapText="1"/>
    </xf>
    <xf numFmtId="0" fontId="27" fillId="17" borderId="31" xfId="0" applyFont="1" applyFill="1" applyBorder="1" applyAlignment="1">
      <alignment horizontal="left" vertical="center" wrapText="1"/>
    </xf>
    <xf numFmtId="165" fontId="27" fillId="19" borderId="29" xfId="0" applyNumberFormat="1" applyFont="1" applyFill="1" applyBorder="1" applyAlignment="1">
      <alignment horizontal="left" vertical="center" wrapText="1"/>
    </xf>
    <xf numFmtId="165" fontId="27" fillId="19" borderId="30" xfId="0" applyNumberFormat="1" applyFont="1" applyFill="1" applyBorder="1" applyAlignment="1">
      <alignment horizontal="left" vertical="center" wrapText="1"/>
    </xf>
    <xf numFmtId="165" fontId="27" fillId="19" borderId="31" xfId="0" applyNumberFormat="1" applyFont="1" applyFill="1" applyBorder="1" applyAlignment="1">
      <alignment horizontal="left" vertical="center" wrapText="1"/>
    </xf>
    <xf numFmtId="165" fontId="5" fillId="4" borderId="40" xfId="3" applyNumberFormat="1" applyBorder="1" applyAlignment="1">
      <alignment horizontal="left" vertical="center" wrapText="1"/>
    </xf>
    <xf numFmtId="165" fontId="5" fillId="4" borderId="41" xfId="3" applyNumberFormat="1" applyBorder="1" applyAlignment="1">
      <alignment horizontal="left" vertical="center" wrapText="1"/>
    </xf>
    <xf numFmtId="0" fontId="27" fillId="12" borderId="17" xfId="0" applyFont="1" applyFill="1" applyBorder="1" applyAlignment="1">
      <alignment horizontal="left" vertical="center" wrapText="1"/>
    </xf>
    <xf numFmtId="0" fontId="27" fillId="12" borderId="27" xfId="0" applyFont="1" applyFill="1" applyBorder="1" applyAlignment="1">
      <alignment horizontal="left" vertical="center" wrapText="1"/>
    </xf>
    <xf numFmtId="0" fontId="32" fillId="21" borderId="17" xfId="1" applyFont="1" applyFill="1" applyBorder="1" applyAlignment="1">
      <alignment horizontal="left" vertical="center" wrapText="1"/>
    </xf>
    <xf numFmtId="0" fontId="32" fillId="21" borderId="18" xfId="1" applyFont="1" applyFill="1" applyBorder="1" applyAlignment="1">
      <alignment horizontal="left" vertical="center" wrapText="1"/>
    </xf>
    <xf numFmtId="0" fontId="32" fillId="21" borderId="19" xfId="1" applyFont="1" applyFill="1" applyBorder="1" applyAlignment="1">
      <alignment horizontal="left" vertical="center" wrapText="1"/>
    </xf>
    <xf numFmtId="0" fontId="32" fillId="20" borderId="29" xfId="3" applyFont="1" applyFill="1" applyBorder="1" applyAlignment="1">
      <alignment horizontal="left" vertical="center" wrapText="1"/>
    </xf>
    <xf numFmtId="0" fontId="32" fillId="20" borderId="31" xfId="3" applyFont="1" applyFill="1" applyBorder="1" applyAlignment="1">
      <alignment horizontal="left" vertical="center" wrapText="1"/>
    </xf>
    <xf numFmtId="165" fontId="22" fillId="4" borderId="17" xfId="3" applyNumberFormat="1" applyFont="1" applyBorder="1" applyAlignment="1">
      <alignment horizontal="left" vertical="center" wrapText="1"/>
    </xf>
    <xf numFmtId="165" fontId="22" fillId="4" borderId="18" xfId="3" applyNumberFormat="1" applyFont="1" applyBorder="1" applyAlignment="1">
      <alignment horizontal="left" vertical="center" wrapText="1"/>
    </xf>
    <xf numFmtId="165" fontId="22" fillId="4" borderId="27" xfId="3" applyNumberFormat="1" applyFont="1" applyBorder="1" applyAlignment="1">
      <alignment horizontal="left" vertical="center" wrapText="1"/>
    </xf>
    <xf numFmtId="164" fontId="24" fillId="2" borderId="33" xfId="2" applyNumberFormat="1" applyFont="1" applyFill="1" applyBorder="1" applyAlignment="1">
      <alignment horizontal="center" vertical="center"/>
    </xf>
    <xf numFmtId="165" fontId="17" fillId="9" borderId="28" xfId="3" applyNumberFormat="1" applyFont="1" applyFill="1" applyBorder="1" applyAlignment="1">
      <alignment horizontal="left" vertical="center" wrapText="1"/>
    </xf>
    <xf numFmtId="0" fontId="22" fillId="4" borderId="14" xfId="3" applyFont="1" applyBorder="1" applyAlignment="1">
      <alignment horizontal="left" vertical="center" wrapText="1"/>
    </xf>
    <xf numFmtId="0" fontId="22" fillId="4" borderId="15" xfId="3" applyFont="1" applyBorder="1" applyAlignment="1">
      <alignment horizontal="left" vertical="center" wrapText="1"/>
    </xf>
    <xf numFmtId="0" fontId="22" fillId="4" borderId="16" xfId="3" applyFont="1" applyBorder="1" applyAlignment="1">
      <alignment horizontal="left" vertical="center" wrapText="1"/>
    </xf>
    <xf numFmtId="0" fontId="16" fillId="2" borderId="28" xfId="0" applyFont="1" applyFill="1" applyBorder="1" applyAlignment="1">
      <alignment horizontal="center" vertical="center" wrapText="1"/>
    </xf>
    <xf numFmtId="0" fontId="32" fillId="22" borderId="42" xfId="0" applyFont="1" applyFill="1" applyBorder="1" applyAlignment="1">
      <alignment horizontal="center" vertical="center" wrapText="1"/>
    </xf>
    <xf numFmtId="0" fontId="32" fillId="22" borderId="39" xfId="0" applyFont="1" applyFill="1" applyBorder="1" applyAlignment="1">
      <alignment horizontal="center" vertical="center" wrapText="1"/>
    </xf>
    <xf numFmtId="0" fontId="32" fillId="23" borderId="29" xfId="0" applyFont="1" applyFill="1" applyBorder="1" applyAlignment="1">
      <alignment horizontal="left" vertical="center" wrapText="1"/>
    </xf>
    <xf numFmtId="0" fontId="32" fillId="23" borderId="30" xfId="0" applyFont="1" applyFill="1" applyBorder="1" applyAlignment="1">
      <alignment horizontal="left" vertical="center" wrapText="1"/>
    </xf>
    <xf numFmtId="0" fontId="32" fillId="23" borderId="31" xfId="0" applyFont="1" applyFill="1" applyBorder="1" applyAlignment="1">
      <alignment horizontal="left" vertical="center" wrapText="1"/>
    </xf>
    <xf numFmtId="0" fontId="32" fillId="24" borderId="29" xfId="1" applyFont="1" applyFill="1" applyBorder="1" applyAlignment="1">
      <alignment horizontal="center" vertical="center" wrapText="1"/>
    </xf>
    <xf numFmtId="0" fontId="32" fillId="24" borderId="30" xfId="1" applyFont="1" applyFill="1" applyBorder="1" applyAlignment="1">
      <alignment horizontal="center" vertical="center" wrapText="1"/>
    </xf>
    <xf numFmtId="0" fontId="32" fillId="24" borderId="31" xfId="1" applyFont="1" applyFill="1" applyBorder="1" applyAlignment="1">
      <alignment horizontal="center" vertical="center" wrapText="1"/>
    </xf>
    <xf numFmtId="0" fontId="32" fillId="25" borderId="29" xfId="0" applyFont="1" applyFill="1" applyBorder="1" applyAlignment="1">
      <alignment horizontal="left" vertical="center" wrapText="1"/>
    </xf>
    <xf numFmtId="0" fontId="32" fillId="25" borderId="30" xfId="0" applyFont="1" applyFill="1" applyBorder="1" applyAlignment="1">
      <alignment horizontal="left" vertical="center" wrapText="1"/>
    </xf>
    <xf numFmtId="0" fontId="32" fillId="25" borderId="38" xfId="0" applyFont="1" applyFill="1" applyBorder="1" applyAlignment="1">
      <alignment horizontal="left" vertical="center" wrapText="1"/>
    </xf>
    <xf numFmtId="0" fontId="32" fillId="25" borderId="31" xfId="0" applyFont="1" applyFill="1" applyBorder="1" applyAlignment="1">
      <alignment horizontal="left" vertical="center" wrapText="1"/>
    </xf>
    <xf numFmtId="164" fontId="25" fillId="0" borderId="0" xfId="2" applyNumberFormat="1" applyFont="1" applyFill="1" applyAlignment="1">
      <alignment horizontal="center" vertical="center"/>
    </xf>
    <xf numFmtId="165" fontId="17" fillId="4" borderId="5" xfId="3" applyNumberFormat="1" applyFont="1" applyBorder="1" applyAlignment="1">
      <alignment horizontal="left" vertical="center" wrapText="1"/>
    </xf>
    <xf numFmtId="165" fontId="17" fillId="4" borderId="11" xfId="3" applyNumberFormat="1" applyFont="1" applyBorder="1" applyAlignment="1">
      <alignment horizontal="left" vertical="center" wrapText="1"/>
    </xf>
    <xf numFmtId="0" fontId="17" fillId="4" borderId="14" xfId="3" applyFont="1" applyBorder="1" applyAlignment="1">
      <alignment horizontal="left" vertical="center" wrapText="1"/>
    </xf>
    <xf numFmtId="0" fontId="17" fillId="4" borderId="15" xfId="3" applyFont="1" applyBorder="1" applyAlignment="1">
      <alignment horizontal="left" vertical="center" wrapText="1"/>
    </xf>
    <xf numFmtId="0" fontId="17" fillId="4" borderId="16" xfId="3" applyFont="1" applyBorder="1" applyAlignment="1">
      <alignment horizontal="left" vertical="center" wrapText="1"/>
    </xf>
  </cellXfs>
  <cellStyles count="69">
    <cellStyle name="40% - Énfasis1" xfId="1" builtinId="31" customBuiltin="1"/>
    <cellStyle name="Énfasis1" xfId="3" builtinId="29" customBuiltin="1"/>
    <cellStyle name="Énfasis5" xfId="4" builtinId="45" customBuilti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Normal" xfId="0" builtinId="0" customBuiltin="1"/>
    <cellStyle name="Título 1" xfId="2" builtinId="16" customBuiltin="1"/>
  </cellStyles>
  <dxfs count="1">
    <dxf>
      <font>
        <b val="0"/>
        <i val="0"/>
        <strike val="0"/>
        <condense val="0"/>
        <extend val="0"/>
        <outline val="0"/>
        <shadow val="0"/>
        <u val="none"/>
        <vertAlign val="baseline"/>
        <sz val="11"/>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mruColors>
      <color rgb="FFDD10FF"/>
      <color rgb="FFC9E20B"/>
      <color rgb="FF88D007"/>
      <color rgb="FF0FF1BD"/>
      <color rgb="FFF57CE9"/>
      <color rgb="FFFF5604"/>
      <color rgb="FFA693C9"/>
      <color rgb="FFA8E1FF"/>
      <color rgb="FFA5B8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ables/table1.xml><?xml version="1.0" encoding="utf-8"?>
<table xmlns="http://schemas.openxmlformats.org/spreadsheetml/2006/main" id="1" name="YearLookup" displayName="YearLookup" ref="A1:A12" totalsRowShown="0" headerRowDxfId="0">
  <autoFilter ref="A1:A12"/>
  <tableColumns count="1">
    <tableColumn id="1" name="Año"/>
  </tableColumns>
  <tableStyleInfo name="TableStyleLight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14"/>
  <sheetViews>
    <sheetView showGridLines="0" workbookViewId="0">
      <selection activeCell="C4" sqref="C4"/>
    </sheetView>
  </sheetViews>
  <sheetFormatPr baseColWidth="10" defaultColWidth="8.6640625" defaultRowHeight="14" x14ac:dyDescent="0.15"/>
  <cols>
    <col min="1" max="1" width="2.5" style="1" customWidth="1"/>
    <col min="2" max="8" width="17.5" customWidth="1"/>
    <col min="10" max="11" width="15.5" customWidth="1"/>
  </cols>
  <sheetData>
    <row r="1" spans="1:12" s="1" customFormat="1" ht="59.25" customHeight="1" thickBot="1" x14ac:dyDescent="0.2">
      <c r="B1" s="117">
        <f>DATE(CalendarYear,1,1)</f>
        <v>42736</v>
      </c>
      <c r="C1" s="117"/>
      <c r="D1" s="117"/>
      <c r="E1" s="117"/>
      <c r="F1" s="117"/>
      <c r="G1" s="117"/>
      <c r="H1" s="117"/>
      <c r="J1" s="20" t="s">
        <v>9</v>
      </c>
      <c r="K1" s="21">
        <v>2017</v>
      </c>
    </row>
    <row r="2" spans="1:12" s="3" customFormat="1" ht="21.75" customHeight="1" x14ac:dyDescent="0.15">
      <c r="A2" s="2"/>
      <c r="B2" s="10" t="s">
        <v>0</v>
      </c>
      <c r="C2" s="11" t="s">
        <v>1</v>
      </c>
      <c r="D2" s="11" t="s">
        <v>2</v>
      </c>
      <c r="E2" s="11" t="s">
        <v>3</v>
      </c>
      <c r="F2" s="11" t="s">
        <v>4</v>
      </c>
      <c r="G2" s="11" t="s">
        <v>5</v>
      </c>
      <c r="H2" s="12" t="s">
        <v>6</v>
      </c>
    </row>
    <row r="3" spans="1:12" ht="14" customHeight="1" x14ac:dyDescent="0.15">
      <c r="B3" s="13" t="str">
        <f>IF(DAY(JanSun1)=1,"",IF(AND(YEAR(JanSun1+1)=CalendarYear,MONTH(JanSun1+1)=1),JanSun1+1,""))</f>
        <v/>
      </c>
      <c r="C3" s="7" t="str">
        <f>IF(DAY(JanSun1)=1,"",IF(AND(YEAR(JanSun1+2)=CalendarYear,MONTH(JanSun1+2)=1),JanSun1+2,""))</f>
        <v/>
      </c>
      <c r="D3" s="7" t="str">
        <f>IF(DAY(JanSun1)=1,"",IF(AND(YEAR(JanSun1+3)=CalendarYear,MONTH(JanSun1+3)=1),JanSun1+3,""))</f>
        <v/>
      </c>
      <c r="E3" s="7" t="str">
        <f>IF(DAY(JanSun1)=1,"",IF(AND(YEAR(JanSun1+4)=CalendarYear,MONTH(JanSun1+4)=1),JanSun1+4,""))</f>
        <v/>
      </c>
      <c r="F3" s="7" t="str">
        <f>IF(DAY(JanSun1)=1,"",IF(AND(YEAR(JanSun1+5)=CalendarYear,MONTH(JanSun1+5)=1),JanSun1+5,""))</f>
        <v/>
      </c>
      <c r="G3" s="7" t="str">
        <f>IF(DAY(JanSun1)=1,"",IF(AND(YEAR(JanSun1+6)=CalendarYear,MONTH(JanSun1+6)=1),JanSun1+6,""))</f>
        <v/>
      </c>
      <c r="H3" s="14">
        <f>IF(DAY(JanSun1)=1,IF(AND(YEAR(JanSun1)=CalendarYear,MONTH(JanSun1)=1),JanSun1,""),IF(AND(YEAR(JanSun1+7)=CalendarYear,MONTH(JanSun1+7)=1),JanSun1+7,""))</f>
        <v>42736</v>
      </c>
    </row>
    <row r="4" spans="1:12" ht="58" customHeight="1" x14ac:dyDescent="0.15">
      <c r="B4" s="16" t="s">
        <v>7</v>
      </c>
      <c r="C4" s="8"/>
      <c r="D4" s="9"/>
      <c r="E4" s="9"/>
      <c r="F4" s="9"/>
      <c r="G4" s="17"/>
      <c r="H4" s="18"/>
    </row>
    <row r="5" spans="1:12" ht="14" customHeight="1" x14ac:dyDescent="0.15">
      <c r="B5" s="13">
        <f>IF(DAY(JanSun1)=1,IF(AND(YEAR(JanSun1+1)=CalendarYear,MONTH(JanSun1+1)=1),JanSun1+1,""),IF(AND(YEAR(JanSun1+8)=CalendarYear,MONTH(JanSun1+8)=1),JanSun1+8,""))</f>
        <v>42737</v>
      </c>
      <c r="C5" s="7">
        <f>IF(DAY(JanSun1)=1,IF(AND(YEAR(JanSun1+2)=CalendarYear,MONTH(JanSun1+2)=1),JanSun1+2,""),IF(AND(YEAR(JanSun1+9)=CalendarYear,MONTH(JanSun1+9)=1),JanSun1+9,""))</f>
        <v>42738</v>
      </c>
      <c r="D5" s="7">
        <f>IF(DAY(JanSun1)=1,IF(AND(YEAR(JanSun1+3)=CalendarYear,MONTH(JanSun1+3)=1),JanSun1+3,""),IF(AND(YEAR(JanSun1+10)=CalendarYear,MONTH(JanSun1+10)=1),JanSun1+10,""))</f>
        <v>42739</v>
      </c>
      <c r="E5" s="7">
        <f>IF(DAY(JanSun1)=1,IF(AND(YEAR(JanSun1+4)=CalendarYear,MONTH(JanSun1+4)=1),JanSun1+4,""),IF(AND(YEAR(JanSun1+11)=CalendarYear,MONTH(JanSun1+11)=1),JanSun1+11,""))</f>
        <v>42740</v>
      </c>
      <c r="F5" s="7">
        <f>IF(DAY(JanSun1)=1,IF(AND(YEAR(JanSun1+5)=CalendarYear,MONTH(JanSun1+5)=1),JanSun1+5,""),IF(AND(YEAR(JanSun1+12)=CalendarYear,MONTH(JanSun1+12)=1),JanSun1+12,""))</f>
        <v>42741</v>
      </c>
      <c r="G5" s="7">
        <f>IF(DAY(JanSun1)=1,IF(AND(YEAR(JanSun1+6)=CalendarYear,MONTH(JanSun1+6)=1),JanSun1+6,""),IF(AND(YEAR(JanSun1+13)=CalendarYear,MONTH(JanSun1+13)=1),JanSun1+13,""))</f>
        <v>42742</v>
      </c>
      <c r="H5" s="14">
        <f>IF(DAY(JanSun1)=1,IF(AND(YEAR(JanSun1+7)=CalendarYear,MONTH(JanSun1+7)=1),JanSun1+7,""),IF(AND(YEAR(JanSun1+14)=CalendarYear,MONTH(JanSun1+14)=1),JanSun1+14,""))</f>
        <v>42743</v>
      </c>
    </row>
    <row r="6" spans="1:12" ht="58" customHeight="1" x14ac:dyDescent="0.15">
      <c r="B6" s="16"/>
      <c r="C6" s="8"/>
      <c r="D6" s="9"/>
      <c r="E6" s="9"/>
      <c r="F6" s="9"/>
      <c r="G6" s="17"/>
      <c r="H6" s="18"/>
    </row>
    <row r="7" spans="1:12" ht="14" customHeight="1" x14ac:dyDescent="0.15">
      <c r="B7" s="13">
        <f>IF(DAY(JanSun1)=1,IF(AND(YEAR(JanSun1+8)=CalendarYear,MONTH(JanSun1+8)=1),JanSun1+8,""),IF(AND(YEAR(JanSun1+15)=CalendarYear,MONTH(JanSun1+15)=1),JanSun1+15,""))</f>
        <v>42744</v>
      </c>
      <c r="C7" s="7">
        <f>IF(DAY(JanSun1)=1,IF(AND(YEAR(JanSun1+9)=CalendarYear,MONTH(JanSun1+9)=1),JanSun1+9,""),IF(AND(YEAR(JanSun1+16)=CalendarYear,MONTH(JanSun1+16)=1),JanSun1+16,""))</f>
        <v>42745</v>
      </c>
      <c r="D7" s="7">
        <f>IF(DAY(JanSun1)=1,IF(AND(YEAR(JanSun1+10)=CalendarYear,MONTH(JanSun1+10)=1),JanSun1+10,""),IF(AND(YEAR(JanSun1+17)=CalendarYear,MONTH(JanSun1+17)=1),JanSun1+17,""))</f>
        <v>42746</v>
      </c>
      <c r="E7" s="7">
        <f>IF(DAY(JanSun1)=1,IF(AND(YEAR(JanSun1+11)=CalendarYear,MONTH(JanSun1+11)=1),JanSun1+11,""),IF(AND(YEAR(JanSun1+18)=CalendarYear,MONTH(JanSun1+18)=1),JanSun1+18,""))</f>
        <v>42747</v>
      </c>
      <c r="F7" s="7">
        <f>IF(DAY(JanSun1)=1,IF(AND(YEAR(JanSun1+12)=CalendarYear,MONTH(JanSun1+12)=1),JanSun1+12,""),IF(AND(YEAR(JanSun1+19)=CalendarYear,MONTH(JanSun1+19)=1),JanSun1+19,""))</f>
        <v>42748</v>
      </c>
      <c r="G7" s="7">
        <f>IF(DAY(JanSun1)=1,IF(AND(YEAR(JanSun1+13)=CalendarYear,MONTH(JanSun1+13)=1),JanSun1+13,""),IF(AND(YEAR(JanSun1+20)=CalendarYear,MONTH(JanSun1+20)=1),JanSun1+20,""))</f>
        <v>42749</v>
      </c>
      <c r="H7" s="14">
        <f>IF(DAY(JanSun1)=1,IF(AND(YEAR(JanSun1+14)=CalendarYear,MONTH(JanSun1+14)=1),JanSun1+14,""),IF(AND(YEAR(JanSun1+21)=CalendarYear,MONTH(JanSun1+21)=1),JanSun1+21,""))</f>
        <v>42750</v>
      </c>
    </row>
    <row r="8" spans="1:12" ht="58" customHeight="1" x14ac:dyDescent="0.15">
      <c r="B8" s="16"/>
      <c r="C8" s="8"/>
      <c r="D8" s="9"/>
      <c r="E8" s="9"/>
      <c r="F8" s="9"/>
      <c r="G8" s="17"/>
      <c r="H8" s="18"/>
    </row>
    <row r="9" spans="1:12" ht="14" customHeight="1" x14ac:dyDescent="0.15">
      <c r="B9" s="13">
        <f>IF(DAY(JanSun1)=1,IF(AND(YEAR(JanSun1+15)=CalendarYear,MONTH(JanSun1+15)=1),JanSun1+15,""),IF(AND(YEAR(JanSun1+22)=CalendarYear,MONTH(JanSun1+22)=1),JanSun1+22,""))</f>
        <v>42751</v>
      </c>
      <c r="C9" s="7">
        <f>IF(DAY(JanSun1)=1,IF(AND(YEAR(JanSun1+16)=CalendarYear,MONTH(JanSun1+16)=1),JanSun1+16,""),IF(AND(YEAR(JanSun1+23)=CalendarYear,MONTH(JanSun1+23)=1),JanSun1+23,""))</f>
        <v>42752</v>
      </c>
      <c r="D9" s="7">
        <f>IF(DAY(JanSun1)=1,IF(AND(YEAR(JanSun1+17)=CalendarYear,MONTH(JanSun1+17)=1),JanSun1+17,""),IF(AND(YEAR(JanSun1+24)=CalendarYear,MONTH(JanSun1+24)=1),JanSun1+24,""))</f>
        <v>42753</v>
      </c>
      <c r="E9" s="7">
        <f>IF(DAY(JanSun1)=1,IF(AND(YEAR(JanSun1+18)=CalendarYear,MONTH(JanSun1+18)=1),JanSun1+18,""),IF(AND(YEAR(JanSun1+25)=CalendarYear,MONTH(JanSun1+25)=1),JanSun1+25,""))</f>
        <v>42754</v>
      </c>
      <c r="F9" s="7">
        <f>IF(DAY(JanSun1)=1,IF(AND(YEAR(JanSun1+19)=CalendarYear,MONTH(JanSun1+19)=1),JanSun1+19,""),IF(AND(YEAR(JanSun1+26)=CalendarYear,MONTH(JanSun1+26)=1),JanSun1+26,""))</f>
        <v>42755</v>
      </c>
      <c r="G9" s="7">
        <f>IF(DAY(JanSun1)=1,IF(AND(YEAR(JanSun1+20)=CalendarYear,MONTH(JanSun1+20)=1),JanSun1+20,""),IF(AND(YEAR(JanSun1+27)=CalendarYear,MONTH(JanSun1+27)=1),JanSun1+27,""))</f>
        <v>42756</v>
      </c>
      <c r="H9" s="14">
        <f>IF(DAY(JanSun1)=1,IF(AND(YEAR(JanSun1+21)=CalendarYear,MONTH(JanSun1+21)=1),JanSun1+21,""),IF(AND(YEAR(JanSun1+28)=CalendarYear,MONTH(JanSun1+28)=1),JanSun1+28,""))</f>
        <v>42757</v>
      </c>
    </row>
    <row r="10" spans="1:12" ht="58" customHeight="1" x14ac:dyDescent="0.15">
      <c r="B10" s="16"/>
      <c r="C10" s="8"/>
      <c r="D10" s="9"/>
      <c r="E10" s="9"/>
      <c r="F10" s="9"/>
      <c r="G10" s="17"/>
      <c r="H10" s="18"/>
    </row>
    <row r="11" spans="1:12" ht="14" customHeight="1" x14ac:dyDescent="0.15">
      <c r="B11" s="13">
        <f>IF(DAY(JanSun1)=1,IF(AND(YEAR(JanSun1+22)=CalendarYear,MONTH(JanSun1+22)=1),JanSun1+22,""),IF(AND(YEAR(JanSun1+29)=CalendarYear,MONTH(JanSun1+29)=1),JanSun1+29,""))</f>
        <v>42758</v>
      </c>
      <c r="C11" s="7">
        <f>IF(DAY(JanSun1)=1,IF(AND(YEAR(JanSun1+23)=CalendarYear,MONTH(JanSun1+23)=1),JanSun1+23,""),IF(AND(YEAR(JanSun1+30)=CalendarYear,MONTH(JanSun1+30)=1),JanSun1+30,""))</f>
        <v>42759</v>
      </c>
      <c r="D11" s="7">
        <f>IF(DAY(JanSun1)=1,IF(AND(YEAR(JanSun1+24)=CalendarYear,MONTH(JanSun1+24)=1),JanSun1+24,""),IF(AND(YEAR(JanSun1+31)=CalendarYear,MONTH(JanSun1+31)=1),JanSun1+31,""))</f>
        <v>42760</v>
      </c>
      <c r="E11" s="7">
        <f>IF(DAY(JanSun1)=1,IF(AND(YEAR(JanSun1+25)=CalendarYear,MONTH(JanSun1+25)=1),JanSun1+25,""),IF(AND(YEAR(JanSun1+32)=CalendarYear,MONTH(JanSun1+32)=1),JanSun1+32,""))</f>
        <v>42761</v>
      </c>
      <c r="F11" s="7">
        <f>IF(DAY(JanSun1)=1,IF(AND(YEAR(JanSun1+26)=CalendarYear,MONTH(JanSun1+26)=1),JanSun1+26,""),IF(AND(YEAR(JanSun1+33)=CalendarYear,MONTH(JanSun1+33)=1),JanSun1+33,""))</f>
        <v>42762</v>
      </c>
      <c r="G11" s="7">
        <f>IF(DAY(JanSun1)=1,IF(AND(YEAR(JanSun1+27)=CalendarYear,MONTH(JanSun1+27)=1),JanSun1+27,""),IF(AND(YEAR(JanSun1+34)=CalendarYear,MONTH(JanSun1+34)=1),JanSun1+34,""))</f>
        <v>42763</v>
      </c>
      <c r="H11" s="14">
        <f>IF(DAY(JanSun1)=1,IF(AND(YEAR(JanSun1+28)=CalendarYear,MONTH(JanSun1+28)=1),JanSun1+28,""),IF(AND(YEAR(JanSun1+35)=CalendarYear,MONTH(JanSun1+35)=1),JanSun1+35,""))</f>
        <v>42764</v>
      </c>
    </row>
    <row r="12" spans="1:12" ht="58" customHeight="1" x14ac:dyDescent="0.15">
      <c r="B12" s="16"/>
      <c r="C12" s="8"/>
      <c r="D12" s="9"/>
      <c r="E12" s="9"/>
      <c r="F12" s="8"/>
      <c r="G12" s="17"/>
      <c r="H12" s="18"/>
    </row>
    <row r="13" spans="1:12" ht="14" customHeight="1" x14ac:dyDescent="0.15">
      <c r="B13" s="13">
        <f>IF(DAY(JanSun1)=1,IF(AND(YEAR(JanSun1+29)=CalendarYear,MONTH(JanSun1+29)=1),JanSun1+29,""),IF(AND(YEAR(JanSun1+36)=CalendarYear,MONTH(JanSun1+36)=1),JanSun1+36,""))</f>
        <v>42765</v>
      </c>
      <c r="C13" s="7">
        <f>IF(DAY(JanSun1)=1,IF(AND(YEAR(JanSun1+30)=CalendarYear,MONTH(JanSun1+30)=1),JanSun1+30,""),IF(AND(YEAR(JanSun1+37)=CalendarYear,MONTH(JanSun1+37)=1),JanSun1+37,""))</f>
        <v>42766</v>
      </c>
      <c r="D13" s="121" t="s">
        <v>8</v>
      </c>
      <c r="E13" s="121"/>
      <c r="F13" s="121"/>
      <c r="G13" s="121"/>
      <c r="H13" s="122"/>
    </row>
    <row r="14" spans="1:12" ht="58" customHeight="1" thickBot="1" x14ac:dyDescent="0.2">
      <c r="B14" s="19"/>
      <c r="C14" s="15"/>
      <c r="D14" s="118"/>
      <c r="E14" s="119"/>
      <c r="F14" s="119"/>
      <c r="G14" s="119"/>
      <c r="H14" s="120"/>
    </row>
  </sheetData>
  <mergeCells count="3">
    <mergeCell ref="B1:H1"/>
    <mergeCell ref="D14:H14"/>
    <mergeCell ref="D13:H13"/>
  </mergeCells>
  <phoneticPr fontId="1" type="noConversion"/>
  <dataValidations count="1">
    <dataValidation type="list" allowBlank="1" showInputMessage="1" showErrorMessage="1" sqref="K1">
      <formula1>Year</formula1>
    </dataValidation>
  </dataValidations>
  <printOptions horizontalCentered="1" verticalCentered="1"/>
  <pageMargins left="0.5" right="0.5" top="0.75" bottom="0.75" header="0.5" footer="0.5"/>
  <headerFooter alignWithMargins="0"/>
  <customProperties>
    <customPr name="SheetChanged" r:id="rId1"/>
  </customPropertie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H18"/>
  <sheetViews>
    <sheetView showGridLines="0" tabSelected="1" topLeftCell="A3" zoomScale="75" zoomScaleNormal="75" zoomScalePageLayoutView="75" workbookViewId="0">
      <selection activeCell="L7" sqref="L7"/>
    </sheetView>
  </sheetViews>
  <sheetFormatPr baseColWidth="10" defaultColWidth="8.6640625" defaultRowHeight="16" x14ac:dyDescent="0.2"/>
  <cols>
    <col min="1" max="1" width="2.5" style="27" customWidth="1"/>
    <col min="2" max="2" width="26.6640625" style="27" customWidth="1"/>
    <col min="3" max="3" width="28.5" style="27" customWidth="1"/>
    <col min="4" max="4" width="27" style="27" customWidth="1"/>
    <col min="5" max="5" width="28.83203125" style="27" customWidth="1"/>
    <col min="6" max="6" width="26.1640625" style="27" customWidth="1"/>
    <col min="7" max="7" width="23.5" style="27" customWidth="1"/>
    <col min="8" max="8" width="27" style="27" customWidth="1"/>
    <col min="9" max="9" width="8.6640625" style="27"/>
    <col min="10" max="10" width="13.5" style="27" bestFit="1" customWidth="1"/>
    <col min="11" max="11" width="14.6640625" style="27" bestFit="1" customWidth="1"/>
    <col min="12" max="16384" width="8.6640625" style="27"/>
  </cols>
  <sheetData>
    <row r="1" spans="2:8" s="70" customFormat="1" ht="59.25" customHeight="1" thickBot="1" x14ac:dyDescent="0.5">
      <c r="B1" s="155">
        <f>DATE(CalendarYear,10,1)</f>
        <v>43009</v>
      </c>
      <c r="C1" s="155"/>
      <c r="D1" s="155"/>
      <c r="E1" s="155"/>
      <c r="F1" s="155"/>
      <c r="G1" s="155"/>
      <c r="H1" s="155"/>
    </row>
    <row r="2" spans="2:8" ht="40" customHeight="1" x14ac:dyDescent="0.2">
      <c r="B2" s="47" t="s">
        <v>0</v>
      </c>
      <c r="C2" s="48" t="s">
        <v>1</v>
      </c>
      <c r="D2" s="48" t="s">
        <v>2</v>
      </c>
      <c r="E2" s="48" t="s">
        <v>3</v>
      </c>
      <c r="F2" s="48" t="s">
        <v>4</v>
      </c>
      <c r="G2" s="48" t="s">
        <v>5</v>
      </c>
      <c r="H2" s="49" t="s">
        <v>6</v>
      </c>
    </row>
    <row r="3" spans="2:8" ht="14" customHeight="1" x14ac:dyDescent="0.2">
      <c r="B3" s="28" t="str">
        <f>IF(DAY(OctSun1)=1,"",IF(AND(YEAR(OctSun1+1)=CalendarYear,MONTH(OctSun1+1)=10),OctSun1+1,""))</f>
        <v/>
      </c>
      <c r="C3" s="29" t="str">
        <f>IF(DAY(OctSun1)=1,"",IF(AND(YEAR(OctSun1+2)=CalendarYear,MONTH(OctSun1+2)=10),OctSun1+2,""))</f>
        <v/>
      </c>
      <c r="D3" s="29" t="str">
        <f>IF(DAY(OctSun1)=1,"",IF(AND(YEAR(OctSun1+3)=CalendarYear,MONTH(OctSun1+3)=10),OctSun1+3,""))</f>
        <v/>
      </c>
      <c r="E3" s="29" t="str">
        <f>IF(DAY(OctSun1)=1,"",IF(AND(YEAR(OctSun1+4)=CalendarYear,MONTH(OctSun1+4)=10),OctSun1+4,""))</f>
        <v/>
      </c>
      <c r="F3" s="29" t="str">
        <f>IF(DAY(OctSun1)=1,"",IF(AND(YEAR(OctSun1+5)=CalendarYear,MONTH(OctSun1+5)=10),OctSun1+5,""))</f>
        <v/>
      </c>
      <c r="G3" s="30" t="str">
        <f>IF(DAY(OctSun1)=1,"",IF(AND(YEAR(OctSun1+6)=CalendarYear,MONTH(OctSun1+6)=10),OctSun1+6,""))</f>
        <v/>
      </c>
      <c r="H3" s="31">
        <f>IF(DAY(OctSun1)=1,IF(AND(YEAR(OctSun1)=CalendarYear,MONTH(OctSun1)=10),OctSun1,""),IF(AND(YEAR(OctSun1+7)=CalendarYear,MONTH(OctSun1+7)=10),OctSun1+7,""))</f>
        <v>43009</v>
      </c>
    </row>
    <row r="4" spans="2:8" ht="87" customHeight="1" x14ac:dyDescent="0.2">
      <c r="B4" s="96"/>
      <c r="C4" s="97"/>
      <c r="D4" s="98"/>
      <c r="E4" s="98"/>
      <c r="F4" s="98"/>
      <c r="G4" s="34"/>
      <c r="H4" s="35"/>
    </row>
    <row r="5" spans="2:8" ht="14" customHeight="1" x14ac:dyDescent="0.2">
      <c r="B5" s="54">
        <f>IF(DAY(OctSun1)=1,IF(AND(YEAR(OctSun1+1)=CalendarYear,MONTH(OctSun1+1)=10),OctSun1+1,""),IF(AND(YEAR(OctSun1+8)=CalendarYear,MONTH(OctSun1+8)=10),OctSun1+8,""))</f>
        <v>43010</v>
      </c>
      <c r="C5" s="54">
        <f>IF(DAY(OctSun1)=1,IF(AND(YEAR(OctSun1+2)=CalendarYear,MONTH(OctSun1+2)=10),OctSun1+2,""),IF(AND(YEAR(OctSun1+9)=CalendarYear,MONTH(OctSun1+9)=10),OctSun1+9,""))</f>
        <v>43011</v>
      </c>
      <c r="D5" s="54">
        <f>IF(DAY(OctSun1)=1,IF(AND(YEAR(OctSun1+3)=CalendarYear,MONTH(OctSun1+3)=10),OctSun1+3,""),IF(AND(YEAR(OctSun1+10)=CalendarYear,MONTH(OctSun1+10)=10),OctSun1+10,""))</f>
        <v>43012</v>
      </c>
      <c r="E5" s="54">
        <f>IF(DAY(OctSun1)=1,IF(AND(YEAR(OctSun1+4)=CalendarYear,MONTH(OctSun1+4)=10),OctSun1+4,""),IF(AND(YEAR(OctSun1+11)=CalendarYear,MONTH(OctSun1+11)=10),OctSun1+11,""))</f>
        <v>43013</v>
      </c>
      <c r="F5" s="54">
        <f>IF(DAY(OctSun1)=1,IF(AND(YEAR(OctSun1+5)=CalendarYear,MONTH(OctSun1+5)=10),OctSun1+5,""),IF(AND(YEAR(OctSun1+12)=CalendarYear,MONTH(OctSun1+12)=10),OctSun1+12,""))</f>
        <v>43014</v>
      </c>
      <c r="G5" s="99">
        <f>IF(DAY(OctSun1)=1,IF(AND(YEAR(OctSun1+6)=CalendarYear,MONTH(OctSun1+6)=10),OctSun1+6,""),IF(AND(YEAR(OctSun1+13)=CalendarYear,MONTH(OctSun1+13)=10),OctSun1+13,""))</f>
        <v>43015</v>
      </c>
      <c r="H5" s="52">
        <f>IF(DAY(OctSun1)=1,IF(AND(YEAR(OctSun1+7)=CalendarYear,MONTH(OctSun1+7)=10),OctSun1+7,""),IF(AND(YEAR(OctSun1+14)=CalendarYear,MONTH(OctSun1+14)=10),OctSun1+14,""))</f>
        <v>43016</v>
      </c>
    </row>
    <row r="6" spans="2:8" ht="111" customHeight="1" x14ac:dyDescent="0.2">
      <c r="B6" s="54"/>
      <c r="C6" s="54"/>
      <c r="D6" s="54"/>
      <c r="E6" s="169" t="s">
        <v>35</v>
      </c>
      <c r="F6" s="170"/>
      <c r="G6" s="170"/>
      <c r="H6" s="171"/>
    </row>
    <row r="7" spans="2:8" ht="106" customHeight="1" x14ac:dyDescent="0.2">
      <c r="B7" s="53"/>
      <c r="C7" s="53"/>
      <c r="D7" s="163" t="s">
        <v>22</v>
      </c>
      <c r="E7" s="164"/>
      <c r="F7" s="165"/>
      <c r="G7" s="34"/>
      <c r="H7" s="34"/>
    </row>
    <row r="8" spans="2:8" ht="18" customHeight="1" x14ac:dyDescent="0.2">
      <c r="B8" s="54">
        <f>IF(DAY(OctSun1)=1,IF(AND(YEAR(OctSun1+8)=CalendarYear,MONTH(OctSun1+8)=10),OctSun1+8,""),IF(AND(YEAR(OctSun1+15)=CalendarYear,MONTH(OctSun1+15)=10),OctSun1+15,""))</f>
        <v>43017</v>
      </c>
      <c r="C8" s="54">
        <f>IF(DAY(OctSun1)=1,IF(AND(YEAR(OctSun1+9)=CalendarYear,MONTH(OctSun1+9)=10),OctSun1+9,""),IF(AND(YEAR(OctSun1+16)=CalendarYear,MONTH(OctSun1+16)=10),OctSun1+16,""))</f>
        <v>43018</v>
      </c>
      <c r="D8" s="54">
        <f>IF(DAY(OctSun1)=1,IF(AND(YEAR(OctSun1+10)=CalendarYear,MONTH(OctSun1+10)=10),OctSun1+10,""),IF(AND(YEAR(OctSun1+17)=CalendarYear,MONTH(OctSun1+17)=10),OctSun1+17,""))</f>
        <v>43019</v>
      </c>
      <c r="E8" s="54">
        <f>IF(DAY(OctSun1)=1,IF(AND(YEAR(OctSun1+11)=CalendarYear,MONTH(OctSun1+11)=10),OctSun1+11,""),IF(AND(YEAR(OctSun1+18)=CalendarYear,MONTH(OctSun1+18)=10),OctSun1+18,""))</f>
        <v>43020</v>
      </c>
      <c r="F8" s="54">
        <f>IF(DAY(OctSun1)=1,IF(AND(YEAR(OctSun1+12)=CalendarYear,MONTH(OctSun1+12)=10),OctSun1+12,""),IF(AND(YEAR(OctSun1+19)=CalendarYear,MONTH(OctSun1+19)=10),OctSun1+19,""))</f>
        <v>43021</v>
      </c>
      <c r="G8" s="54">
        <f>IF(DAY(OctSun1)=1,IF(AND(YEAR(OctSun1+13)=CalendarYear,MONTH(OctSun1+13)=10),OctSun1+13,""),IF(AND(YEAR(OctSun1+20)=CalendarYear,MONTH(OctSun1+20)=10),OctSun1+20,""))</f>
        <v>43022</v>
      </c>
      <c r="H8" s="54">
        <f>IF(DAY(OctSun1)=1,IF(AND(YEAR(OctSun1+14)=CalendarYear,MONTH(OctSun1+14)=10),OctSun1+14,""),IF(AND(YEAR(OctSun1+21)=CalendarYear,MONTH(OctSun1+21)=10),OctSun1+21,""))</f>
        <v>43023</v>
      </c>
    </row>
    <row r="9" spans="2:8" ht="198" customHeight="1" x14ac:dyDescent="0.2">
      <c r="B9" s="169" t="s">
        <v>35</v>
      </c>
      <c r="C9" s="170"/>
      <c r="D9" s="172"/>
      <c r="E9" s="160"/>
      <c r="F9" s="161" t="s">
        <v>38</v>
      </c>
      <c r="G9" s="34"/>
      <c r="H9" s="34"/>
    </row>
    <row r="10" spans="2:8" ht="59" hidden="1" customHeight="1" x14ac:dyDescent="0.2">
      <c r="B10" s="100"/>
      <c r="C10" s="100"/>
      <c r="D10" s="100"/>
      <c r="E10" s="160"/>
      <c r="F10" s="162"/>
      <c r="G10" s="34"/>
      <c r="H10" s="34"/>
    </row>
    <row r="11" spans="2:8" ht="14" customHeight="1" x14ac:dyDescent="0.2">
      <c r="B11" s="54">
        <f>IF(DAY(OctSun1)=1,IF(AND(YEAR(OctSun1+15)=CalendarYear,MONTH(OctSun1+15)=10),OctSun1+15,""),IF(AND(YEAR(OctSun1+22)=CalendarYear,MONTH(OctSun1+22)=10),OctSun1+22,""))</f>
        <v>43024</v>
      </c>
      <c r="C11" s="54">
        <f>IF(DAY(OctSun1)=1,IF(AND(YEAR(OctSun1+16)=CalendarYear,MONTH(OctSun1+16)=10),OctSun1+16,""),IF(AND(YEAR(OctSun1+23)=CalendarYear,MONTH(OctSun1+23)=10),OctSun1+23,""))</f>
        <v>43025</v>
      </c>
      <c r="D11" s="54">
        <f>IF(DAY(OctSun1)=1,IF(AND(YEAR(OctSun1+17)=CalendarYear,MONTH(OctSun1+17)=10),OctSun1+17,""),IF(AND(YEAR(OctSun1+24)=CalendarYear,MONTH(OctSun1+24)=10),OctSun1+24,""))</f>
        <v>43026</v>
      </c>
      <c r="E11" s="54">
        <f>IF(DAY(OctSun1)=1,IF(AND(YEAR(OctSun1+18)=CalendarYear,MONTH(OctSun1+18)=10),OctSun1+18,""),IF(AND(YEAR(OctSun1+25)=CalendarYear,MONTH(OctSun1+25)=10),OctSun1+25,""))</f>
        <v>43027</v>
      </c>
      <c r="F11" s="54">
        <f>IF(DAY(OctSun1)=1,IF(AND(YEAR(OctSun1+19)=CalendarYear,MONTH(OctSun1+19)=10),OctSun1+19,""),IF(AND(YEAR(OctSun1+26)=CalendarYear,MONTH(OctSun1+26)=10),OctSun1+26,""))</f>
        <v>43028</v>
      </c>
      <c r="G11" s="54">
        <f>IF(DAY(OctSun1)=1,IF(AND(YEAR(OctSun1+20)=CalendarYear,MONTH(OctSun1+20)=10),OctSun1+20,""),IF(AND(YEAR(OctSun1+27)=CalendarYear,MONTH(OctSun1+27)=10),OctSun1+27,""))</f>
        <v>43029</v>
      </c>
      <c r="H11" s="54">
        <f>IF(DAY(OctSun1)=1,IF(AND(YEAR(OctSun1+21)=CalendarYear,MONTH(OctSun1+21)=10),OctSun1+21,""),IF(AND(YEAR(OctSun1+28)=CalendarYear,MONTH(OctSun1+28)=10),OctSun1+28,""))</f>
        <v>43030</v>
      </c>
    </row>
    <row r="12" spans="2:8" ht="122" customHeight="1" x14ac:dyDescent="0.2">
      <c r="B12" s="53"/>
      <c r="C12" s="53"/>
      <c r="D12" s="55"/>
      <c r="E12" s="55"/>
      <c r="F12" s="53"/>
      <c r="G12" s="34"/>
      <c r="H12" s="34"/>
    </row>
    <row r="13" spans="2:8" ht="14" customHeight="1" x14ac:dyDescent="0.2">
      <c r="B13" s="54">
        <f>IF(DAY(OctSun1)=1,IF(AND(YEAR(OctSun1+22)=CalendarYear,MONTH(OctSun1+22)=10),OctSun1+22,""),IF(AND(YEAR(OctSun1+29)=CalendarYear,MONTH(OctSun1+29)=10),OctSun1+29,""))</f>
        <v>43031</v>
      </c>
      <c r="C13" s="54">
        <f>IF(DAY(OctSun1)=1,IF(AND(YEAR(OctSun1+23)=CalendarYear,MONTH(OctSun1+23)=10),OctSun1+23,""),IF(AND(YEAR(OctSun1+30)=CalendarYear,MONTH(OctSun1+30)=10),OctSun1+30,""))</f>
        <v>43032</v>
      </c>
      <c r="D13" s="54">
        <f>IF(DAY(OctSun1)=1,IF(AND(YEAR(OctSun1+24)=CalendarYear,MONTH(OctSun1+24)=10),OctSun1+24,""),IF(AND(YEAR(OctSun1+31)=CalendarYear,MONTH(OctSun1+31)=10),OctSun1+31,""))</f>
        <v>43033</v>
      </c>
      <c r="E13" s="54">
        <f>IF(DAY(OctSun1)=1,IF(AND(YEAR(OctSun1+25)=CalendarYear,MONTH(OctSun1+25)=10),OctSun1+25,""),IF(AND(YEAR(OctSun1+32)=CalendarYear,MONTH(OctSun1+32)=10),OctSun1+32,""))</f>
        <v>43034</v>
      </c>
      <c r="F13" s="54">
        <f>IF(DAY(OctSun1)=1,IF(AND(YEAR(OctSun1+26)=CalendarYear,MONTH(OctSun1+26)=10),OctSun1+26,""),IF(AND(YEAR(OctSun1+33)=CalendarYear,MONTH(OctSun1+33)=10),OctSun1+33,""))</f>
        <v>43035</v>
      </c>
      <c r="G13" s="54">
        <f>IF(DAY(OctSun1)=1,IF(AND(YEAR(OctSun1+27)=CalendarYear,MONTH(OctSun1+27)=10),OctSun1+27,""),IF(AND(YEAR(OctSun1+34)=CalendarYear,MONTH(OctSun1+34)=10),OctSun1+34,""))</f>
        <v>43036</v>
      </c>
      <c r="H13" s="54">
        <f>IF(DAY(OctSun1)=1,IF(AND(YEAR(OctSun1+28)=CalendarYear,MONTH(OctSun1+28)=10),OctSun1+28,""),IF(AND(YEAR(OctSun1+35)=CalendarYear,MONTH(OctSun1+35)=10),OctSun1+35,""))</f>
        <v>43037</v>
      </c>
    </row>
    <row r="14" spans="2:8" ht="113" customHeight="1" x14ac:dyDescent="0.2">
      <c r="B14" s="166" t="s">
        <v>35</v>
      </c>
      <c r="C14" s="167"/>
      <c r="D14" s="167"/>
      <c r="E14" s="167"/>
      <c r="F14" s="168"/>
      <c r="G14" s="34"/>
      <c r="H14" s="34"/>
    </row>
    <row r="15" spans="2:8" ht="14" customHeight="1" x14ac:dyDescent="0.2">
      <c r="B15" s="58">
        <v>31</v>
      </c>
      <c r="C15" s="57">
        <f>IF(DAY(OctSun1)=1,IF(AND(YEAR(OctSun1+30)=CalendarYear,MONTH(OctSun1+30)=10),OctSun1+30,""),IF(AND(YEAR(OctSun1+37)=CalendarYear,MONTH(OctSun1+37)=10),OctSun1+37,""))</f>
        <v>43039</v>
      </c>
      <c r="D15" s="156" t="s">
        <v>8</v>
      </c>
      <c r="E15" s="156"/>
      <c r="F15" s="156"/>
      <c r="G15" s="156"/>
      <c r="H15" s="156"/>
    </row>
    <row r="16" spans="2:8" ht="97" customHeight="1" x14ac:dyDescent="0.2">
      <c r="B16" s="60"/>
      <c r="C16" s="60"/>
      <c r="D16" s="59"/>
      <c r="E16" s="59"/>
      <c r="F16" s="59"/>
      <c r="G16" s="34"/>
      <c r="H16" s="34"/>
    </row>
    <row r="17" spans="2:8" ht="23" x14ac:dyDescent="0.2">
      <c r="B17" s="60"/>
      <c r="C17" s="60"/>
      <c r="D17" s="152" t="s">
        <v>8</v>
      </c>
      <c r="E17" s="153"/>
      <c r="F17" s="153"/>
      <c r="G17" s="153"/>
      <c r="H17" s="154"/>
    </row>
    <row r="18" spans="2:8" ht="82" customHeight="1" thickBot="1" x14ac:dyDescent="0.25">
      <c r="B18" s="60"/>
      <c r="C18" s="60"/>
      <c r="D18" s="157"/>
      <c r="E18" s="158"/>
      <c r="F18" s="158"/>
      <c r="G18" s="158"/>
      <c r="H18" s="159"/>
    </row>
  </sheetData>
  <mergeCells count="10">
    <mergeCell ref="D17:H17"/>
    <mergeCell ref="B1:H1"/>
    <mergeCell ref="D15:H15"/>
    <mergeCell ref="D18:H18"/>
    <mergeCell ref="E9:E10"/>
    <mergeCell ref="F9:F10"/>
    <mergeCell ref="D7:F7"/>
    <mergeCell ref="B14:F14"/>
    <mergeCell ref="E6:H6"/>
    <mergeCell ref="B9:D9"/>
  </mergeCells>
  <phoneticPr fontId="10" type="noConversion"/>
  <printOptions horizontalCentered="1" verticalCentered="1"/>
  <pageMargins left="0.5" right="0.5" top="0.75" bottom="0.75" header="0.5" footer="0.5"/>
  <pageSetup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6"/>
  <sheetViews>
    <sheetView showGridLines="0" topLeftCell="A10" zoomScale="75" zoomScaleNormal="75" zoomScalePageLayoutView="75" workbookViewId="0">
      <selection activeCell="E14" sqref="E14"/>
    </sheetView>
  </sheetViews>
  <sheetFormatPr baseColWidth="10" defaultColWidth="8.6640625" defaultRowHeight="16" x14ac:dyDescent="0.2"/>
  <cols>
    <col min="1" max="1" width="2.5" style="27" customWidth="1"/>
    <col min="2" max="2" width="29.83203125" style="27" customWidth="1"/>
    <col min="3" max="3" width="30.5" style="27" customWidth="1"/>
    <col min="4" max="4" width="26.5" style="27" customWidth="1"/>
    <col min="5" max="5" width="29.33203125" style="27" customWidth="1"/>
    <col min="6" max="6" width="26.83203125" style="27" customWidth="1"/>
    <col min="7" max="8" width="17.5" style="27" customWidth="1"/>
    <col min="9" max="9" width="8.6640625" style="27"/>
    <col min="10" max="10" width="13.5" style="27" bestFit="1" customWidth="1"/>
    <col min="11" max="11" width="14.6640625" style="27" bestFit="1" customWidth="1"/>
    <col min="12" max="16384" width="8.6640625" style="27"/>
  </cols>
  <sheetData>
    <row r="1" spans="1:8" s="26" customFormat="1" ht="59.25" customHeight="1" thickBot="1" x14ac:dyDescent="0.25">
      <c r="B1" s="173">
        <f>DATE(CalendarYear,11,1)</f>
        <v>43040</v>
      </c>
      <c r="C1" s="173"/>
      <c r="D1" s="173"/>
      <c r="E1" s="173"/>
      <c r="F1" s="173"/>
      <c r="G1" s="173"/>
      <c r="H1" s="173"/>
    </row>
    <row r="2" spans="1:8" s="77" customFormat="1" ht="21.75" customHeight="1" x14ac:dyDescent="0.25">
      <c r="A2" s="73"/>
      <c r="B2" s="74" t="s">
        <v>0</v>
      </c>
      <c r="C2" s="75" t="s">
        <v>1</v>
      </c>
      <c r="D2" s="75" t="s">
        <v>2</v>
      </c>
      <c r="E2" s="75" t="s">
        <v>3</v>
      </c>
      <c r="F2" s="75" t="s">
        <v>4</v>
      </c>
      <c r="G2" s="75" t="s">
        <v>5</v>
      </c>
      <c r="H2" s="76" t="s">
        <v>6</v>
      </c>
    </row>
    <row r="3" spans="1:8" ht="14" customHeight="1" x14ac:dyDescent="0.2">
      <c r="B3" s="36" t="str">
        <f>IF(DAY(NovSun1)=1,"",IF(AND(YEAR(NovSun1+1)=CalendarYear,MONTH(NovSun1+1)=11),NovSun1+1,""))</f>
        <v/>
      </c>
      <c r="C3" s="30" t="str">
        <f>IF(DAY(NovSun1)=1,"",IF(AND(YEAR(NovSun1+2)=CalendarYear,MONTH(NovSun1+2)=11),NovSun1+2,""))</f>
        <v/>
      </c>
      <c r="D3" s="30">
        <f>IF(DAY(NovSun1)=1,"",IF(AND(YEAR(NovSun1+3)=CalendarYear,MONTH(NovSun1+3)=11),NovSun1+3,""))</f>
        <v>43040</v>
      </c>
      <c r="E3" s="30">
        <f>IF(DAY(NovSun1)=1,"",IF(AND(YEAR(NovSun1+4)=CalendarYear,MONTH(NovSun1+4)=11),NovSun1+4,""))</f>
        <v>43041</v>
      </c>
      <c r="F3" s="30">
        <f>IF(DAY(NovSun1)=1,"",IF(AND(YEAR(NovSun1+5)=CalendarYear,MONTH(NovSun1+5)=11),NovSun1+5,""))</f>
        <v>43042</v>
      </c>
      <c r="G3" s="30">
        <f>IF(DAY(NovSun1)=1,"",IF(AND(YEAR(NovSun1+6)=CalendarYear,MONTH(NovSun1+6)=11),NovSun1+6,""))</f>
        <v>43043</v>
      </c>
      <c r="H3" s="31">
        <f>IF(DAY(NovSun1)=1,IF(AND(YEAR(NovSun1)=CalendarYear,MONTH(NovSun1)=11),NovSun1,""),IF(AND(YEAR(NovSun1+7)=CalendarYear,MONTH(NovSun1+7)=11),NovSun1+7,""))</f>
        <v>43044</v>
      </c>
    </row>
    <row r="4" spans="1:8" x14ac:dyDescent="0.2">
      <c r="B4" s="32"/>
      <c r="C4" s="33"/>
      <c r="D4" s="33"/>
      <c r="E4" s="46"/>
      <c r="F4" s="33"/>
      <c r="G4" s="45"/>
      <c r="H4" s="61"/>
    </row>
    <row r="5" spans="1:8" ht="78" customHeight="1" x14ac:dyDescent="0.2">
      <c r="B5" s="32"/>
      <c r="C5" s="33"/>
      <c r="D5" s="33"/>
      <c r="E5" s="33"/>
      <c r="F5" s="33"/>
      <c r="G5" s="34"/>
      <c r="H5" s="34"/>
    </row>
    <row r="6" spans="1:8" ht="14" customHeight="1" x14ac:dyDescent="0.2">
      <c r="B6" s="51">
        <f>IF(DAY(NovSun1)=1,IF(AND(YEAR(NovSun1+1)=CalendarYear,MONTH(NovSun1+1)=11),NovSun1+1,""),IF(AND(YEAR(NovSun1+8)=CalendarYear,MONTH(NovSun1+8)=11),NovSun1+8,""))</f>
        <v>43045</v>
      </c>
      <c r="C6" s="50">
        <f>IF(DAY(NovSun1)=1,IF(AND(YEAR(NovSun1+2)=CalendarYear,MONTH(NovSun1+2)=11),NovSun1+2,""),IF(AND(YEAR(NovSun1+9)=CalendarYear,MONTH(NovSun1+9)=11),NovSun1+9,""))</f>
        <v>43046</v>
      </c>
      <c r="D6" s="50">
        <f>IF(DAY(NovSun1)=1,IF(AND(YEAR(NovSun1+3)=CalendarYear,MONTH(NovSun1+3)=11),NovSun1+3,""),IF(AND(YEAR(NovSun1+10)=CalendarYear,MONTH(NovSun1+10)=11),NovSun1+10,""))</f>
        <v>43047</v>
      </c>
      <c r="E6" s="50">
        <f>IF(DAY(NovSun1)=1,IF(AND(YEAR(NovSun1+4)=CalendarYear,MONTH(NovSun1+4)=11),NovSun1+4,""),IF(AND(YEAR(NovSun1+11)=CalendarYear,MONTH(NovSun1+11)=11),NovSun1+11,""))</f>
        <v>43048</v>
      </c>
      <c r="F6" s="50">
        <f>IF(DAY(NovSun1)=1,IF(AND(YEAR(NovSun1+5)=CalendarYear,MONTH(NovSun1+5)=11),NovSun1+5,""),IF(AND(YEAR(NovSun1+12)=CalendarYear,MONTH(NovSun1+12)=11),NovSun1+12,""))</f>
        <v>43049</v>
      </c>
      <c r="G6" s="50">
        <f>IF(DAY(NovSun1)=1,IF(AND(YEAR(NovSun1+6)=CalendarYear,MONTH(NovSun1+6)=11),NovSun1+6,""),IF(AND(YEAR(NovSun1+13)=CalendarYear,MONTH(NovSun1+13)=11),NovSun1+13,""))</f>
        <v>43050</v>
      </c>
      <c r="H6" s="52">
        <f>IF(DAY(NovSun1)=1,IF(AND(YEAR(NovSun1+7)=CalendarYear,MONTH(NovSun1+7)=11),NovSun1+7,""),IF(AND(YEAR(NovSun1+14)=CalendarYear,MONTH(NovSun1+14)=11),NovSun1+14,""))</f>
        <v>43051</v>
      </c>
    </row>
    <row r="7" spans="1:8" ht="131" customHeight="1" x14ac:dyDescent="0.2">
      <c r="B7" s="92"/>
      <c r="C7" s="92"/>
      <c r="D7" s="92"/>
      <c r="E7" s="92"/>
      <c r="F7" s="92"/>
      <c r="G7" s="92"/>
      <c r="H7" s="92"/>
    </row>
    <row r="8" spans="1:8" ht="127" customHeight="1" x14ac:dyDescent="0.2">
      <c r="B8" s="89"/>
      <c r="C8" s="90"/>
      <c r="D8" s="90"/>
      <c r="E8" s="90"/>
      <c r="F8" s="114" t="s">
        <v>23</v>
      </c>
      <c r="G8" s="91"/>
      <c r="H8" s="91"/>
    </row>
    <row r="9" spans="1:8" ht="14" customHeight="1" x14ac:dyDescent="0.2">
      <c r="B9" s="51">
        <f>IF(DAY(NovSun1)=1,IF(AND(YEAR(NovSun1+8)=CalendarYear,MONTH(NovSun1+8)=11),NovSun1+8,""),IF(AND(YEAR(NovSun1+15)=CalendarYear,MONTH(NovSun1+15)=11),NovSun1+15,""))</f>
        <v>43052</v>
      </c>
      <c r="C9" s="50">
        <f>IF(DAY(NovSun1)=1,IF(AND(YEAR(NovSun1+9)=CalendarYear,MONTH(NovSun1+9)=11),NovSun1+9,""),IF(AND(YEAR(NovSun1+16)=CalendarYear,MONTH(NovSun1+16)=11),NovSun1+16,""))</f>
        <v>43053</v>
      </c>
      <c r="D9" s="50">
        <f>IF(DAY(NovSun1)=1,IF(AND(YEAR(NovSun1+10)=CalendarYear,MONTH(NovSun1+10)=11),NovSun1+10,""),IF(AND(YEAR(NovSun1+17)=CalendarYear,MONTH(NovSun1+17)=11),NovSun1+17,""))</f>
        <v>43054</v>
      </c>
      <c r="E9" s="50">
        <f>IF(DAY(NovSun1)=1,IF(AND(YEAR(NovSun1+11)=CalendarYear,MONTH(NovSun1+11)=11),NovSun1+11,""),IF(AND(YEAR(NovSun1+18)=CalendarYear,MONTH(NovSun1+18)=11),NovSun1+18,""))</f>
        <v>43055</v>
      </c>
      <c r="F9" s="50">
        <f>IF(DAY(NovSun1)=1,IF(AND(YEAR(NovSun1+12)=CalendarYear,MONTH(NovSun1+12)=11),NovSun1+12,""),IF(AND(YEAR(NovSun1+19)=CalendarYear,MONTH(NovSun1+19)=11),NovSun1+19,""))</f>
        <v>43056</v>
      </c>
      <c r="G9" s="50">
        <f>IF(DAY(NovSun1)=1,IF(AND(YEAR(NovSun1+13)=CalendarYear,MONTH(NovSun1+13)=11),NovSun1+13,""),IF(AND(YEAR(NovSun1+20)=CalendarYear,MONTH(NovSun1+20)=11),NovSun1+20,""))</f>
        <v>43057</v>
      </c>
      <c r="H9" s="52">
        <f>IF(DAY(NovSun1)=1,IF(AND(YEAR(NovSun1+14)=CalendarYear,MONTH(NovSun1+14)=11),NovSun1+14,""),IF(AND(YEAR(NovSun1+21)=CalendarYear,MONTH(NovSun1+21)=11),NovSun1+21,""))</f>
        <v>43058</v>
      </c>
    </row>
    <row r="10" spans="1:8" ht="162" customHeight="1" x14ac:dyDescent="0.2">
      <c r="B10" s="102"/>
      <c r="C10" s="71"/>
      <c r="D10" s="71"/>
      <c r="E10" s="72"/>
      <c r="F10" s="72"/>
      <c r="G10" s="34"/>
      <c r="H10" s="34"/>
    </row>
    <row r="11" spans="1:8" ht="14" customHeight="1" x14ac:dyDescent="0.2">
      <c r="B11" s="64">
        <f>IF(DAY(NovSun1)=1,IF(AND(YEAR(NovSun1+15)=CalendarYear,MONTH(NovSun1+15)=11),NovSun1+15,""),IF(AND(YEAR(NovSun1+22)=CalendarYear,MONTH(NovSun1+22)=11),NovSun1+22,""))</f>
        <v>43059</v>
      </c>
      <c r="C11" s="65">
        <f>IF(DAY(NovSun1)=1,IF(AND(YEAR(NovSun1+16)=CalendarYear,MONTH(NovSun1+16)=11),NovSun1+16,""),IF(AND(YEAR(NovSun1+23)=CalendarYear,MONTH(NovSun1+23)=11),NovSun1+23,""))</f>
        <v>43060</v>
      </c>
      <c r="D11" s="65">
        <f>IF(DAY(NovSun1)=1,IF(AND(YEAR(NovSun1+17)=CalendarYear,MONTH(NovSun1+17)=11),NovSun1+17,""),IF(AND(YEAR(NovSun1+24)=CalendarYear,MONTH(NovSun1+24)=11),NovSun1+24,""))</f>
        <v>43061</v>
      </c>
      <c r="E11" s="65">
        <f>IF(DAY(NovSun1)=1,IF(AND(YEAR(NovSun1+18)=CalendarYear,MONTH(NovSun1+18)=11),NovSun1+18,""),IF(AND(YEAR(NovSun1+25)=CalendarYear,MONTH(NovSun1+25)=11),NovSun1+25,""))</f>
        <v>43062</v>
      </c>
      <c r="F11" s="65">
        <f>IF(DAY(NovSun1)=1,IF(AND(YEAR(NovSun1+19)=CalendarYear,MONTH(NovSun1+19)=11),NovSun1+19,""),IF(AND(YEAR(NovSun1+26)=CalendarYear,MONTH(NovSun1+26)=11),NovSun1+26,""))</f>
        <v>43063</v>
      </c>
      <c r="G11" s="65">
        <f>IF(DAY(NovSun1)=1,IF(AND(YEAR(NovSun1+20)=CalendarYear,MONTH(NovSun1+20)=11),NovSun1+20,""),IF(AND(YEAR(NovSun1+27)=CalendarYear,MONTH(NovSun1+27)=11),NovSun1+27,""))</f>
        <v>43064</v>
      </c>
      <c r="H11" s="66">
        <f>IF(DAY(NovSun1)=1,IF(AND(YEAR(NovSun1+21)=CalendarYear,MONTH(NovSun1+21)=11),NovSun1+21,""),IF(AND(YEAR(NovSun1+28)=CalendarYear,MONTH(NovSun1+28)=11),NovSun1+28,""))</f>
        <v>43065</v>
      </c>
    </row>
    <row r="12" spans="1:8" ht="143" customHeight="1" x14ac:dyDescent="0.2">
      <c r="B12" s="56"/>
      <c r="C12" s="115" t="s">
        <v>24</v>
      </c>
      <c r="D12" s="56"/>
      <c r="E12" s="56"/>
      <c r="F12" s="78"/>
      <c r="G12" s="34"/>
      <c r="H12" s="34"/>
    </row>
    <row r="13" spans="1:8" ht="14" customHeight="1" x14ac:dyDescent="0.2">
      <c r="B13" s="62">
        <f>IF(DAY(NovSun1)=1,IF(AND(YEAR(NovSun1+22)=CalendarYear,MONTH(NovSun1+22)=11),NovSun1+22,""),IF(AND(YEAR(NovSun1+29)=CalendarYear,MONTH(NovSun1+29)=11),NovSun1+29,""))</f>
        <v>43066</v>
      </c>
      <c r="C13" s="63">
        <f>IF(DAY(NovSun1)=1,IF(AND(YEAR(NovSun1+23)=CalendarYear,MONTH(NovSun1+23)=11),NovSun1+23,""),IF(AND(YEAR(NovSun1+30)=CalendarYear,MONTH(NovSun1+30)=11),NovSun1+30,""))</f>
        <v>43067</v>
      </c>
      <c r="D13" s="63">
        <f>IF(DAY(NovSun1)=1,IF(AND(YEAR(NovSun1+24)=CalendarYear,MONTH(NovSun1+24)=11),NovSun1+24,""),IF(AND(YEAR(NovSun1+31)=CalendarYear,MONTH(NovSun1+31)=11),NovSun1+31,""))</f>
        <v>43068</v>
      </c>
      <c r="E13" s="63">
        <f>IF(DAY(NovSun1)=1,IF(AND(YEAR(NovSun1+25)=CalendarYear,MONTH(NovSun1+25)=11),NovSun1+25,""),IF(AND(YEAR(NovSun1+32)=CalendarYear,MONTH(NovSun1+32)=11),NovSun1+32,""))</f>
        <v>43069</v>
      </c>
      <c r="F13" s="67" t="str">
        <f>IF(DAY(NovSun1)=1,IF(AND(YEAR(NovSun1+26)=CalendarYear,MONTH(NovSun1+26)=11),NovSun1+26,""),IF(AND(YEAR(NovSun1+33)=CalendarYear,MONTH(NovSun1+33)=11),NovSun1+33,""))</f>
        <v/>
      </c>
      <c r="G13" s="67" t="str">
        <f>IF(DAY(NovSun1)=1,IF(AND(YEAR(NovSun1+27)=CalendarYear,MONTH(NovSun1+27)=11),NovSun1+27,""),IF(AND(YEAR(NovSun1+34)=CalendarYear,MONTH(NovSun1+34)=11),NovSun1+34,""))</f>
        <v/>
      </c>
      <c r="H13" s="68" t="str">
        <f>IF(DAY(NovSun1)=1,IF(AND(YEAR(NovSun1+28)=CalendarYear,MONTH(NovSun1+28)=11),NovSun1+28,""),IF(AND(YEAR(NovSun1+35)=CalendarYear,MONTH(NovSun1+35)=11),NovSun1+35,""))</f>
        <v/>
      </c>
    </row>
    <row r="14" spans="1:8" ht="113" customHeight="1" x14ac:dyDescent="0.2">
      <c r="B14" s="32"/>
      <c r="C14" s="32"/>
      <c r="D14" s="33"/>
      <c r="E14" s="116" t="s">
        <v>21</v>
      </c>
      <c r="F14" s="33"/>
      <c r="G14" s="34"/>
      <c r="H14" s="34"/>
    </row>
    <row r="15" spans="1:8" ht="14" customHeight="1" x14ac:dyDescent="0.2">
      <c r="B15" s="28" t="str">
        <f>IF(DAY(NovSun1)=1,IF(AND(YEAR(NovSun1+29)=CalendarYear,MONTH(NovSun1+29)=11),NovSun1+29,""),IF(AND(YEAR(NovSun1+36)=CalendarYear,MONTH(NovSun1+36)=11),NovSun1+36,""))</f>
        <v/>
      </c>
      <c r="C15" s="29" t="str">
        <f>IF(DAY(NovSun1)=1,IF(AND(YEAR(NovSun1+30)=CalendarYear,MONTH(NovSun1+30)=11),NovSun1+30,""),IF(AND(YEAR(NovSun1+37)=CalendarYear,MONTH(NovSun1+37)=11),NovSun1+37,""))</f>
        <v/>
      </c>
      <c r="D15" s="174" t="s">
        <v>8</v>
      </c>
      <c r="E15" s="174"/>
      <c r="F15" s="174"/>
      <c r="G15" s="174"/>
      <c r="H15" s="175"/>
    </row>
    <row r="16" spans="1:8" ht="58" customHeight="1" thickBot="1" x14ac:dyDescent="0.25">
      <c r="B16" s="37"/>
      <c r="C16" s="38"/>
      <c r="D16" s="176"/>
      <c r="E16" s="177"/>
      <c r="F16" s="177"/>
      <c r="G16" s="177"/>
      <c r="H16" s="178"/>
    </row>
  </sheetData>
  <mergeCells count="3">
    <mergeCell ref="B1:H1"/>
    <mergeCell ref="D15:H15"/>
    <mergeCell ref="D16:H16"/>
  </mergeCells>
  <phoneticPr fontId="10" type="noConversion"/>
  <printOptions horizontalCentered="1" verticalCentered="1"/>
  <pageMargins left="0.5" right="0.5" top="0.75" bottom="0.75"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topLeftCell="A6" zoomScale="75" zoomScaleNormal="75" zoomScalePageLayoutView="75" workbookViewId="0">
      <selection activeCell="G8" sqref="G8"/>
    </sheetView>
  </sheetViews>
  <sheetFormatPr baseColWidth="10" defaultColWidth="8.6640625" defaultRowHeight="14" x14ac:dyDescent="0.15"/>
  <cols>
    <col min="1" max="1" width="2.5" style="1" customWidth="1"/>
    <col min="2" max="2" width="21.5" customWidth="1"/>
    <col min="3" max="3" width="21" customWidth="1"/>
    <col min="4" max="4" width="21.33203125" customWidth="1"/>
    <col min="5" max="5" width="22.1640625" customWidth="1"/>
    <col min="6" max="6" width="22.5" customWidth="1"/>
    <col min="7" max="8" width="17.5" customWidth="1"/>
    <col min="10" max="10" width="13.5" bestFit="1" customWidth="1"/>
    <col min="11" max="11" width="14.6640625" bestFit="1" customWidth="1"/>
  </cols>
  <sheetData>
    <row r="1" spans="1:8" s="1" customFormat="1" ht="59.25" customHeight="1" thickBot="1" x14ac:dyDescent="0.2">
      <c r="B1" s="117">
        <f>DATE(CalendarYear,12,1)</f>
        <v>43070</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IF(DAY(DecSun1)=1,"",IF(AND(YEAR(DecSun1+1)=CalendarYear,MONTH(DecSun1+1)=12),DecSun1+1,""))</f>
        <v/>
      </c>
      <c r="C3" s="7" t="str">
        <f>IF(DAY(DecSun1)=1,"",IF(AND(YEAR(DecSun1+2)=CalendarYear,MONTH(DecSun1+2)=12),DecSun1+2,""))</f>
        <v/>
      </c>
      <c r="D3" s="7" t="str">
        <f>IF(DAY(DecSun1)=1,"",IF(AND(YEAR(DecSun1+3)=CalendarYear,MONTH(DecSun1+3)=12),DecSun1+3,""))</f>
        <v/>
      </c>
      <c r="E3" s="24" t="str">
        <f>IF(DAY(DecSun1)=1,"",IF(AND(YEAR(DecSun1+4)=CalendarYear,MONTH(DecSun1+4)=12),DecSun1+4,""))</f>
        <v/>
      </c>
      <c r="F3" s="24">
        <f>IF(DAY(DecSun1)=1,"",IF(AND(YEAR(DecSun1+5)=CalendarYear,MONTH(DecSun1+5)=12),DecSun1+5,""))</f>
        <v>43070</v>
      </c>
      <c r="G3" s="24">
        <f>IF(DAY(DecSun1)=1,"",IF(AND(YEAR(DecSun1+6)=CalendarYear,MONTH(DecSun1+6)=12),DecSun1+6,""))</f>
        <v>43071</v>
      </c>
      <c r="H3" s="25">
        <f>IF(DAY(DecSun1)=1,IF(AND(YEAR(DecSun1)=CalendarYear,MONTH(DecSun1)=12),DecSun1,""),IF(AND(YEAR(DecSun1+7)=CalendarYear,MONTH(DecSun1+7)=12),DecSun1+7,""))</f>
        <v>43072</v>
      </c>
    </row>
    <row r="4" spans="1:8" ht="81" customHeight="1" x14ac:dyDescent="0.15">
      <c r="B4" s="16"/>
      <c r="C4" s="8"/>
      <c r="D4" s="9"/>
      <c r="E4" s="9"/>
      <c r="F4" s="8"/>
      <c r="G4" s="17"/>
      <c r="H4" s="18"/>
    </row>
    <row r="5" spans="1:8" ht="14" customHeight="1" x14ac:dyDescent="0.15">
      <c r="B5" s="23">
        <f>IF(DAY(DecSun1)=1,IF(AND(YEAR(DecSun1+1)=CalendarYear,MONTH(DecSun1+1)=12),DecSun1+1,""),IF(AND(YEAR(DecSun1+8)=CalendarYear,MONTH(DecSun1+8)=12),DecSun1+8,""))</f>
        <v>43073</v>
      </c>
      <c r="C5" s="24">
        <f>IF(DAY(DecSun1)=1,IF(AND(YEAR(DecSun1+2)=CalendarYear,MONTH(DecSun1+2)=12),DecSun1+2,""),IF(AND(YEAR(DecSun1+9)=CalendarYear,MONTH(DecSun1+9)=12),DecSun1+9,""))</f>
        <v>43074</v>
      </c>
      <c r="D5" s="24">
        <f>IF(DAY(DecSun1)=1,IF(AND(YEAR(DecSun1+3)=CalendarYear,MONTH(DecSun1+3)=12),DecSun1+3,""),IF(AND(YEAR(DecSun1+10)=CalendarYear,MONTH(DecSun1+10)=12),DecSun1+10,""))</f>
        <v>43075</v>
      </c>
      <c r="E5" s="24">
        <f>IF(DAY(DecSun1)=1,IF(AND(YEAR(DecSun1+4)=CalendarYear,MONTH(DecSun1+4)=12),DecSun1+4,""),IF(AND(YEAR(DecSun1+11)=CalendarYear,MONTH(DecSun1+11)=12),DecSun1+11,""))</f>
        <v>43076</v>
      </c>
      <c r="F5" s="24">
        <f>IF(DAY(DecSun1)=1,IF(AND(YEAR(DecSun1+5)=CalendarYear,MONTH(DecSun1+5)=12),DecSun1+5,""),IF(AND(YEAR(DecSun1+12)=CalendarYear,MONTH(DecSun1+12)=12),DecSun1+12,""))</f>
        <v>43077</v>
      </c>
      <c r="G5" s="24">
        <f>IF(DAY(DecSun1)=1,IF(AND(YEAR(DecSun1+6)=CalendarYear,MONTH(DecSun1+6)=12),DecSun1+6,""),IF(AND(YEAR(DecSun1+13)=CalendarYear,MONTH(DecSun1+13)=12),DecSun1+13,""))</f>
        <v>43078</v>
      </c>
      <c r="H5" s="25">
        <f>IF(DAY(DecSun1)=1,IF(AND(YEAR(DecSun1+7)=CalendarYear,MONTH(DecSun1+7)=12),DecSun1+7,""),IF(AND(YEAR(DecSun1+14)=CalendarYear,MONTH(DecSun1+14)=12),DecSun1+14,""))</f>
        <v>43079</v>
      </c>
    </row>
    <row r="6" spans="1:8" ht="138" customHeight="1" x14ac:dyDescent="0.15">
      <c r="B6" s="16"/>
      <c r="C6" s="8"/>
      <c r="D6" s="9"/>
      <c r="E6" s="9"/>
      <c r="F6" s="9"/>
      <c r="G6" s="17"/>
      <c r="H6" s="18"/>
    </row>
    <row r="7" spans="1:8" ht="14" customHeight="1" x14ac:dyDescent="0.15">
      <c r="B7" s="23">
        <f>IF(DAY(DecSun1)=1,IF(AND(YEAR(DecSun1+8)=CalendarYear,MONTH(DecSun1+8)=12),DecSun1+8,""),IF(AND(YEAR(DecSun1+15)=CalendarYear,MONTH(DecSun1+15)=12),DecSun1+15,""))</f>
        <v>43080</v>
      </c>
      <c r="C7" s="24">
        <f>IF(DAY(DecSun1)=1,IF(AND(YEAR(DecSun1+9)=CalendarYear,MONTH(DecSun1+9)=12),DecSun1+9,""),IF(AND(YEAR(DecSun1+16)=CalendarYear,MONTH(DecSun1+16)=12),DecSun1+16,""))</f>
        <v>43081</v>
      </c>
      <c r="D7" s="24">
        <f>IF(DAY(DecSun1)=1,IF(AND(YEAR(DecSun1+10)=CalendarYear,MONTH(DecSun1+10)=12),DecSun1+10,""),IF(AND(YEAR(DecSun1+17)=CalendarYear,MONTH(DecSun1+17)=12),DecSun1+17,""))</f>
        <v>43082</v>
      </c>
      <c r="E7" s="24">
        <f>IF(DAY(DecSun1)=1,IF(AND(YEAR(DecSun1+11)=CalendarYear,MONTH(DecSun1+11)=12),DecSun1+11,""),IF(AND(YEAR(DecSun1+18)=CalendarYear,MONTH(DecSun1+18)=12),DecSun1+18,""))</f>
        <v>43083</v>
      </c>
      <c r="F7" s="24">
        <f>IF(DAY(DecSun1)=1,IF(AND(YEAR(DecSun1+12)=CalendarYear,MONTH(DecSun1+12)=12),DecSun1+12,""),IF(AND(YEAR(DecSun1+19)=CalendarYear,MONTH(DecSun1+19)=12),DecSun1+19,""))</f>
        <v>43084</v>
      </c>
      <c r="G7" s="24">
        <f>IF(DAY(DecSun1)=1,IF(AND(YEAR(DecSun1+13)=CalendarYear,MONTH(DecSun1+13)=12),DecSun1+13,""),IF(AND(YEAR(DecSun1+20)=CalendarYear,MONTH(DecSun1+20)=12),DecSun1+20,""))</f>
        <v>43085</v>
      </c>
      <c r="H7" s="25">
        <f>IF(DAY(DecSun1)=1,IF(AND(YEAR(DecSun1+14)=CalendarYear,MONTH(DecSun1+14)=12),DecSun1+14,""),IF(AND(YEAR(DecSun1+21)=CalendarYear,MONTH(DecSun1+21)=12),DecSun1+21,""))</f>
        <v>43086</v>
      </c>
    </row>
    <row r="8" spans="1:8" ht="147" customHeight="1" x14ac:dyDescent="0.15">
      <c r="B8" s="16"/>
      <c r="C8" s="8"/>
      <c r="D8" s="9"/>
      <c r="F8" s="8"/>
      <c r="G8" s="17"/>
      <c r="H8" s="18"/>
    </row>
    <row r="9" spans="1:8" ht="14" customHeight="1" x14ac:dyDescent="0.15">
      <c r="B9" s="23">
        <f>IF(DAY(DecSun1)=1,IF(AND(YEAR(DecSun1+15)=CalendarYear,MONTH(DecSun1+15)=12),DecSun1+15,""),IF(AND(YEAR(DecSun1+22)=CalendarYear,MONTH(DecSun1+22)=12),DecSun1+22,""))</f>
        <v>43087</v>
      </c>
      <c r="C9" s="24">
        <f>IF(DAY(DecSun1)=1,IF(AND(YEAR(DecSun1+16)=CalendarYear,MONTH(DecSun1+16)=12),DecSun1+16,""),IF(AND(YEAR(DecSun1+23)=CalendarYear,MONTH(DecSun1+23)=12),DecSun1+23,""))</f>
        <v>43088</v>
      </c>
      <c r="D9" s="24">
        <f>IF(DAY(DecSun1)=1,IF(AND(YEAR(DecSun1+17)=CalendarYear,MONTH(DecSun1+17)=12),DecSun1+17,""),IF(AND(YEAR(DecSun1+24)=CalendarYear,MONTH(DecSun1+24)=12),DecSun1+24,""))</f>
        <v>43089</v>
      </c>
      <c r="E9" s="24">
        <f>IF(DAY(DecSun1)=1,IF(AND(YEAR(DecSun1+18)=CalendarYear,MONTH(DecSun1+18)=12),DecSun1+18,""),IF(AND(YEAR(DecSun1+25)=CalendarYear,MONTH(DecSun1+25)=12),DecSun1+25,""))</f>
        <v>43090</v>
      </c>
      <c r="F9" s="24">
        <f>IF(DAY(DecSun1)=1,IF(AND(YEAR(DecSun1+19)=CalendarYear,MONTH(DecSun1+19)=12),DecSun1+19,""),IF(AND(YEAR(DecSun1+26)=CalendarYear,MONTH(DecSun1+26)=12),DecSun1+26,""))</f>
        <v>43091</v>
      </c>
      <c r="G9" s="24">
        <f>IF(DAY(DecSun1)=1,IF(AND(YEAR(DecSun1+20)=CalendarYear,MONTH(DecSun1+20)=12),DecSun1+20,""),IF(AND(YEAR(DecSun1+27)=CalendarYear,MONTH(DecSun1+27)=12),DecSun1+27,""))</f>
        <v>43092</v>
      </c>
      <c r="H9" s="25">
        <f>IF(DAY(DecSun1)=1,IF(AND(YEAR(DecSun1+21)=CalendarYear,MONTH(DecSun1+21)=12),DecSun1+21,""),IF(AND(YEAR(DecSun1+28)=CalendarYear,MONTH(DecSun1+28)=12),DecSun1+28,""))</f>
        <v>43093</v>
      </c>
    </row>
    <row r="10" spans="1:8" ht="146" customHeight="1" x14ac:dyDescent="0.15">
      <c r="B10" s="16"/>
      <c r="C10" s="8"/>
      <c r="D10" s="9"/>
      <c r="E10" s="9"/>
      <c r="F10" s="9"/>
      <c r="G10" s="17"/>
      <c r="H10" s="18"/>
    </row>
    <row r="11" spans="1:8" ht="14" customHeight="1" x14ac:dyDescent="0.15">
      <c r="B11" s="23">
        <f>IF(DAY(DecSun1)=1,IF(AND(YEAR(DecSun1+22)=CalendarYear,MONTH(DecSun1+22)=12),DecSun1+22,""),IF(AND(YEAR(DecSun1+29)=CalendarYear,MONTH(DecSun1+29)=12),DecSun1+29,""))</f>
        <v>43094</v>
      </c>
      <c r="C11" s="24">
        <f>IF(DAY(DecSun1)=1,IF(AND(YEAR(DecSun1+23)=CalendarYear,MONTH(DecSun1+23)=12),DecSun1+23,""),IF(AND(YEAR(DecSun1+30)=CalendarYear,MONTH(DecSun1+30)=12),DecSun1+30,""))</f>
        <v>43095</v>
      </c>
      <c r="D11" s="24">
        <f>IF(DAY(DecSun1)=1,IF(AND(YEAR(DecSun1+24)=CalendarYear,MONTH(DecSun1+24)=12),DecSun1+24,""),IF(AND(YEAR(DecSun1+31)=CalendarYear,MONTH(DecSun1+31)=12),DecSun1+31,""))</f>
        <v>43096</v>
      </c>
      <c r="E11" s="24">
        <f>IF(DAY(DecSun1)=1,IF(AND(YEAR(DecSun1+25)=CalendarYear,MONTH(DecSun1+25)=12),DecSun1+25,""),IF(AND(YEAR(DecSun1+32)=CalendarYear,MONTH(DecSun1+32)=12),DecSun1+32,""))</f>
        <v>43097</v>
      </c>
      <c r="F11" s="24">
        <f>IF(DAY(DecSun1)=1,IF(AND(YEAR(DecSun1+26)=CalendarYear,MONTH(DecSun1+26)=12),DecSun1+26,""),IF(AND(YEAR(DecSun1+33)=CalendarYear,MONTH(DecSun1+33)=12),DecSun1+33,""))</f>
        <v>43098</v>
      </c>
      <c r="G11" s="24">
        <f>IF(DAY(DecSun1)=1,IF(AND(YEAR(DecSun1+27)=CalendarYear,MONTH(DecSun1+27)=12),DecSun1+27,""),IF(AND(YEAR(DecSun1+34)=CalendarYear,MONTH(DecSun1+34)=12),DecSun1+34,""))</f>
        <v>43099</v>
      </c>
      <c r="H11" s="14">
        <f>IF(DAY(DecSun1)=1,IF(AND(YEAR(DecSun1+28)=CalendarYear,MONTH(DecSun1+28)=12),DecSun1+28,""),IF(AND(YEAR(DecSun1+35)=CalendarYear,MONTH(DecSun1+35)=12),DecSun1+35,""))</f>
        <v>43100</v>
      </c>
    </row>
    <row r="12" spans="1:8" ht="142" customHeight="1" x14ac:dyDescent="0.15">
      <c r="B12" s="16"/>
      <c r="C12" s="8"/>
      <c r="D12" s="9"/>
      <c r="E12" s="9"/>
      <c r="F12" s="8"/>
      <c r="G12" s="17"/>
      <c r="H12" s="18"/>
    </row>
    <row r="13" spans="1:8" ht="14" customHeight="1" x14ac:dyDescent="0.15">
      <c r="B13" s="13" t="str">
        <f>IF(DAY(DecSun1)=1,IF(AND(YEAR(DecSun1+29)=CalendarYear,MONTH(DecSun1+29)=12),DecSun1+29,""),IF(AND(YEAR(DecSun1+36)=CalendarYear,MONTH(DecSun1+36)=12),DecSun1+36,""))</f>
        <v/>
      </c>
      <c r="C13" s="7" t="str">
        <f>IF(DAY(DecSun1)=1,IF(AND(YEAR(DecSun1+30)=CalendarYear,MONTH(DecSun1+30)=12),DecSun1+30,""),IF(AND(YEAR(DecSun1+37)=CalendarYear,MONTH(DecSun1+37)=12),DecSun1+37,""))</f>
        <v/>
      </c>
      <c r="D13" s="121" t="s">
        <v>8</v>
      </c>
      <c r="E13" s="121"/>
      <c r="F13" s="121"/>
      <c r="G13" s="121"/>
      <c r="H13" s="122"/>
    </row>
    <row r="14" spans="1:8" ht="58" customHeight="1" thickBot="1" x14ac:dyDescent="0.2">
      <c r="B14" s="19"/>
      <c r="C14" s="15"/>
      <c r="D14" s="118"/>
      <c r="E14" s="119"/>
      <c r="F14" s="119"/>
      <c r="G14" s="119"/>
      <c r="H14" s="120"/>
    </row>
  </sheetData>
  <mergeCells count="3">
    <mergeCell ref="B1:H1"/>
    <mergeCell ref="D13:H13"/>
    <mergeCell ref="D14:H14"/>
  </mergeCells>
  <phoneticPr fontId="10" type="noConversion"/>
  <printOptions horizontalCentered="1" verticalCentered="1"/>
  <pageMargins left="0.5" right="0.5" top="0.75" bottom="0.75"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selection activeCell="A9" sqref="A9"/>
    </sheetView>
  </sheetViews>
  <sheetFormatPr baseColWidth="10" defaultColWidth="8.6640625" defaultRowHeight="14" x14ac:dyDescent="0.15"/>
  <cols>
    <col min="1" max="1" width="10.5" customWidth="1"/>
    <col min="2" max="2" width="9.5" customWidth="1"/>
    <col min="3" max="3" width="9.6640625" customWidth="1"/>
    <col min="7" max="7" width="20.1640625" customWidth="1"/>
  </cols>
  <sheetData>
    <row r="1" spans="1:3" x14ac:dyDescent="0.15">
      <c r="A1" s="22" t="s">
        <v>10</v>
      </c>
      <c r="B1" s="5"/>
    </row>
    <row r="2" spans="1:3" x14ac:dyDescent="0.15">
      <c r="A2" s="5">
        <v>2010</v>
      </c>
      <c r="B2" s="5"/>
      <c r="C2" s="4"/>
    </row>
    <row r="3" spans="1:3" x14ac:dyDescent="0.15">
      <c r="A3" s="5">
        <v>2011</v>
      </c>
      <c r="B3" s="5"/>
    </row>
    <row r="4" spans="1:3" x14ac:dyDescent="0.15">
      <c r="A4" s="5">
        <v>2012</v>
      </c>
      <c r="B4" s="5"/>
    </row>
    <row r="5" spans="1:3" x14ac:dyDescent="0.15">
      <c r="A5" s="5">
        <v>2013</v>
      </c>
      <c r="B5" s="5"/>
    </row>
    <row r="6" spans="1:3" x14ac:dyDescent="0.15">
      <c r="A6" s="5">
        <v>2014</v>
      </c>
      <c r="B6" s="5"/>
    </row>
    <row r="7" spans="1:3" x14ac:dyDescent="0.15">
      <c r="A7" s="5">
        <v>2015</v>
      </c>
      <c r="B7" s="5"/>
    </row>
    <row r="8" spans="1:3" x14ac:dyDescent="0.15">
      <c r="A8" s="6">
        <v>2016</v>
      </c>
      <c r="B8" s="5"/>
    </row>
    <row r="9" spans="1:3" x14ac:dyDescent="0.15">
      <c r="A9" s="6">
        <v>2017</v>
      </c>
      <c r="B9" s="5"/>
    </row>
    <row r="10" spans="1:3" x14ac:dyDescent="0.15">
      <c r="A10" s="6">
        <v>2018</v>
      </c>
      <c r="B10" s="5"/>
    </row>
    <row r="11" spans="1:3" x14ac:dyDescent="0.15">
      <c r="A11" s="6">
        <v>2019</v>
      </c>
      <c r="B11" s="5"/>
    </row>
    <row r="12" spans="1:3" x14ac:dyDescent="0.15">
      <c r="A12" s="6">
        <v>2020</v>
      </c>
      <c r="B12" s="5"/>
    </row>
  </sheetData>
  <phoneticPr fontId="10" type="noConversion"/>
  <pageMargins left="0.7" right="0.7" top="0.75" bottom="0.75" header="0.3" footer="0.3"/>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D13" sqref="D13:H13"/>
    </sheetView>
  </sheetViews>
  <sheetFormatPr baseColWidth="10" defaultColWidth="8.6640625" defaultRowHeight="14" x14ac:dyDescent="0.15"/>
  <cols>
    <col min="1" max="1" width="2.5" style="1" customWidth="1"/>
    <col min="2" max="8" width="17.5" customWidth="1"/>
    <col min="10" max="10" width="13.5" bestFit="1" customWidth="1"/>
    <col min="11" max="11" width="14.6640625" bestFit="1" customWidth="1"/>
  </cols>
  <sheetData>
    <row r="1" spans="1:8" s="1" customFormat="1" ht="59.25" customHeight="1" thickBot="1" x14ac:dyDescent="0.2">
      <c r="B1" s="117">
        <f>DATE(CalendarYear,2,1)</f>
        <v>42767</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IF(DAY(FebSun1)=1,"",IF(AND(YEAR(FebSun1+1)=CalendarYear,MONTH(FebSun1+1)=2),FebSun1+1,""))</f>
        <v/>
      </c>
      <c r="C3" s="7" t="str">
        <f>IF(DAY(FebSun1)=1,"",IF(AND(YEAR(FebSun1+2)=CalendarYear,MONTH(FebSun1+2)=2),FebSun1+2,""))</f>
        <v/>
      </c>
      <c r="D3" s="7">
        <f>IF(DAY(FebSun1)=1,"",IF(AND(YEAR(FebSun1+3)=CalendarYear,MONTH(FebSun1+3)=2),FebSun1+3,""))</f>
        <v>42767</v>
      </c>
      <c r="E3" s="7">
        <f>IF(DAY(FebSun1)=1,"",IF(AND(YEAR(FebSun1+4)=CalendarYear,MONTH(FebSun1+4)=2),FebSun1+4,""))</f>
        <v>42768</v>
      </c>
      <c r="F3" s="7">
        <f>IF(DAY(FebSun1)=1,"",IF(AND(YEAR(FebSun1+5)=CalendarYear,MONTH(FebSun1+5)=2),FebSun1+5,""))</f>
        <v>42769</v>
      </c>
      <c r="G3" s="7">
        <f>IF(DAY(FebSun1)=1,"",IF(AND(YEAR(FebSun1+6)=CalendarYear,MONTH(FebSun1+6)=2),FebSun1+6,""))</f>
        <v>42770</v>
      </c>
      <c r="H3" s="14">
        <f>IF(DAY(FebSun1)=1,IF(AND(YEAR(FebSun1)=CalendarYear,MONTH(FebSun1)=2),FebSun1,""),IF(AND(YEAR(FebSun1+7)=CalendarYear,MONTH(FebSun1+7)=2),FebSun1+7,""))</f>
        <v>42771</v>
      </c>
    </row>
    <row r="4" spans="1:8" ht="58" customHeight="1" x14ac:dyDescent="0.15">
      <c r="B4" s="16"/>
      <c r="C4" s="8"/>
      <c r="D4" s="9"/>
      <c r="E4" s="9"/>
      <c r="F4" s="9"/>
      <c r="G4" s="17"/>
      <c r="H4" s="18"/>
    </row>
    <row r="5" spans="1:8" ht="14" customHeight="1" x14ac:dyDescent="0.15">
      <c r="B5" s="13">
        <f>IF(DAY(FebSun1)=1,IF(AND(YEAR(FebSun1+1)=CalendarYear,MONTH(FebSun1+1)=2),FebSun1+1,""),IF(AND(YEAR(FebSun1+8)=CalendarYear,MONTH(FebSun1+8)=2),FebSun1+8,""))</f>
        <v>42772</v>
      </c>
      <c r="C5" s="7">
        <f>IF(DAY(FebSun1)=1,IF(AND(YEAR(FebSun1+2)=CalendarYear,MONTH(FebSun1+2)=2),FebSun1+2,""),IF(AND(YEAR(FebSun1+9)=CalendarYear,MONTH(FebSun1+9)=2),FebSun1+9,""))</f>
        <v>42773</v>
      </c>
      <c r="D5" s="7">
        <f>IF(DAY(FebSun1)=1,IF(AND(YEAR(FebSun1+3)=CalendarYear,MONTH(FebSun1+3)=2),FebSun1+3,""),IF(AND(YEAR(FebSun1+10)=CalendarYear,MONTH(FebSun1+10)=2),FebSun1+10,""))</f>
        <v>42774</v>
      </c>
      <c r="E5" s="7">
        <f>IF(DAY(FebSun1)=1,IF(AND(YEAR(FebSun1+4)=CalendarYear,MONTH(FebSun1+4)=2),FebSun1+4,""),IF(AND(YEAR(FebSun1+11)=CalendarYear,MONTH(FebSun1+11)=2),FebSun1+11,""))</f>
        <v>42775</v>
      </c>
      <c r="F5" s="7">
        <f>IF(DAY(FebSun1)=1,IF(AND(YEAR(FebSun1+5)=CalendarYear,MONTH(FebSun1+5)=2),FebSun1+5,""),IF(AND(YEAR(FebSun1+12)=CalendarYear,MONTH(FebSun1+12)=2),FebSun1+12,""))</f>
        <v>42776</v>
      </c>
      <c r="G5" s="7">
        <f>IF(DAY(FebSun1)=1,IF(AND(YEAR(FebSun1+6)=CalendarYear,MONTH(FebSun1+6)=2),FebSun1+6,""),IF(AND(YEAR(FebSun1+13)=CalendarYear,MONTH(FebSun1+13)=2),FebSun1+13,""))</f>
        <v>42777</v>
      </c>
      <c r="H5" s="14">
        <f>IF(DAY(FebSun1)=1,IF(AND(YEAR(FebSun1+7)=CalendarYear,MONTH(FebSun1+7)=2),FebSun1+7,""),IF(AND(YEAR(FebSun1+14)=CalendarYear,MONTH(FebSun1+14)=2),FebSun1+14,""))</f>
        <v>42778</v>
      </c>
    </row>
    <row r="6" spans="1:8" ht="58" customHeight="1" x14ac:dyDescent="0.15">
      <c r="B6" s="16"/>
      <c r="C6" s="8"/>
      <c r="D6" s="9"/>
      <c r="E6" s="9"/>
      <c r="F6" s="9"/>
      <c r="G6" s="17"/>
      <c r="H6" s="18"/>
    </row>
    <row r="7" spans="1:8" ht="14" customHeight="1" x14ac:dyDescent="0.15">
      <c r="B7" s="13">
        <f>IF(DAY(FebSun1)=1,IF(AND(YEAR(FebSun1+8)=CalendarYear,MONTH(FebSun1+8)=2),FebSun1+8,""),IF(AND(YEAR(FebSun1+15)=CalendarYear,MONTH(FebSun1+15)=2),FebSun1+15,""))</f>
        <v>42779</v>
      </c>
      <c r="C7" s="7">
        <f>IF(DAY(FebSun1)=1,IF(AND(YEAR(FebSun1+9)=CalendarYear,MONTH(FebSun1+9)=2),FebSun1+9,""),IF(AND(YEAR(FebSun1+16)=CalendarYear,MONTH(FebSun1+16)=2),FebSun1+16,""))</f>
        <v>42780</v>
      </c>
      <c r="D7" s="7">
        <f>IF(DAY(FebSun1)=1,IF(AND(YEAR(FebSun1+10)=CalendarYear,MONTH(FebSun1+10)=2),FebSun1+10,""),IF(AND(YEAR(FebSun1+17)=CalendarYear,MONTH(FebSun1+17)=2),FebSun1+17,""))</f>
        <v>42781</v>
      </c>
      <c r="E7" s="7">
        <f>IF(DAY(FebSun1)=1,IF(AND(YEAR(FebSun1+11)=CalendarYear,MONTH(FebSun1+11)=2),FebSun1+11,""),IF(AND(YEAR(FebSun1+18)=CalendarYear,MONTH(FebSun1+18)=2),FebSun1+18,""))</f>
        <v>42782</v>
      </c>
      <c r="F7" s="7">
        <f>IF(DAY(FebSun1)=1,IF(AND(YEAR(FebSun1+12)=CalendarYear,MONTH(FebSun1+12)=2),FebSun1+12,""),IF(AND(YEAR(FebSun1+19)=CalendarYear,MONTH(FebSun1+19)=2),FebSun1+19,""))</f>
        <v>42783</v>
      </c>
      <c r="G7" s="7">
        <f>IF(DAY(FebSun1)=1,IF(AND(YEAR(FebSun1+13)=CalendarYear,MONTH(FebSun1+13)=2),FebSun1+13,""),IF(AND(YEAR(FebSun1+20)=CalendarYear,MONTH(FebSun1+20)=2),FebSun1+20,""))</f>
        <v>42784</v>
      </c>
      <c r="H7" s="14">
        <f>IF(DAY(FebSun1)=1,IF(AND(YEAR(FebSun1+14)=CalendarYear,MONTH(FebSun1+14)=2),FebSun1+14,""),IF(AND(YEAR(FebSun1+21)=CalendarYear,MONTH(FebSun1+21)=2),FebSun1+21,""))</f>
        <v>42785</v>
      </c>
    </row>
    <row r="8" spans="1:8" ht="58" customHeight="1" x14ac:dyDescent="0.15">
      <c r="B8" s="16"/>
      <c r="C8" s="8"/>
      <c r="D8" s="9"/>
      <c r="E8" s="9"/>
      <c r="F8" s="9"/>
      <c r="G8" s="17"/>
      <c r="H8" s="18"/>
    </row>
    <row r="9" spans="1:8" ht="14" customHeight="1" x14ac:dyDescent="0.15">
      <c r="B9" s="13">
        <f>IF(DAY(FebSun1)=1,IF(AND(YEAR(FebSun1+15)=CalendarYear,MONTH(FebSun1+15)=2),FebSun1+15,""),IF(AND(YEAR(FebSun1+22)=CalendarYear,MONTH(FebSun1+22)=2),FebSun1+22,""))</f>
        <v>42786</v>
      </c>
      <c r="C9" s="7">
        <f>IF(DAY(FebSun1)=1,IF(AND(YEAR(FebSun1+16)=CalendarYear,MONTH(FebSun1+16)=2),FebSun1+16,""),IF(AND(YEAR(FebSun1+23)=CalendarYear,MONTH(FebSun1+23)=2),FebSun1+23,""))</f>
        <v>42787</v>
      </c>
      <c r="D9" s="7">
        <f>IF(DAY(FebSun1)=1,IF(AND(YEAR(FebSun1+17)=CalendarYear,MONTH(FebSun1+17)=2),FebSun1+17,""),IF(AND(YEAR(FebSun1+24)=CalendarYear,MONTH(FebSun1+24)=2),FebSun1+24,""))</f>
        <v>42788</v>
      </c>
      <c r="E9" s="7">
        <f>IF(DAY(FebSun1)=1,IF(AND(YEAR(FebSun1+18)=CalendarYear,MONTH(FebSun1+18)=2),FebSun1+18,""),IF(AND(YEAR(FebSun1+25)=CalendarYear,MONTH(FebSun1+25)=2),FebSun1+25,""))</f>
        <v>42789</v>
      </c>
      <c r="F9" s="7">
        <f>IF(DAY(FebSun1)=1,IF(AND(YEAR(FebSun1+19)=CalendarYear,MONTH(FebSun1+19)=2),FebSun1+19,""),IF(AND(YEAR(FebSun1+26)=CalendarYear,MONTH(FebSun1+26)=2),FebSun1+26,""))</f>
        <v>42790</v>
      </c>
      <c r="G9" s="7">
        <f>IF(DAY(FebSun1)=1,IF(AND(YEAR(FebSun1+20)=CalendarYear,MONTH(FebSun1+20)=2),FebSun1+20,""),IF(AND(YEAR(FebSun1+27)=CalendarYear,MONTH(FebSun1+27)=2),FebSun1+27,""))</f>
        <v>42791</v>
      </c>
      <c r="H9" s="14">
        <f>IF(DAY(FebSun1)=1,IF(AND(YEAR(FebSun1+21)=CalendarYear,MONTH(FebSun1+21)=2),FebSun1+21,""),IF(AND(YEAR(FebSun1+28)=CalendarYear,MONTH(FebSun1+28)=2),FebSun1+28,""))</f>
        <v>42792</v>
      </c>
    </row>
    <row r="10" spans="1:8" ht="58" customHeight="1" x14ac:dyDescent="0.15">
      <c r="B10" s="16"/>
      <c r="C10" s="8"/>
      <c r="D10" s="9"/>
      <c r="E10" s="9"/>
      <c r="F10" s="9"/>
      <c r="G10" s="17"/>
      <c r="H10" s="18"/>
    </row>
    <row r="11" spans="1:8" ht="14" customHeight="1" x14ac:dyDescent="0.15">
      <c r="B11" s="13">
        <f>IF(DAY(FebSun1)=1,IF(AND(YEAR(FebSun1+22)=CalendarYear,MONTH(FebSun1+22)=2),FebSun1+22,""),IF(AND(YEAR(FebSun1+29)=CalendarYear,MONTH(FebSun1+29)=2),FebSun1+29,""))</f>
        <v>42793</v>
      </c>
      <c r="C11" s="7">
        <f>IF(DAY(FebSun1)=1,IF(AND(YEAR(FebSun1+23)=CalendarYear,MONTH(FebSun1+23)=2),FebSun1+23,""),IF(AND(YEAR(FebSun1+30)=CalendarYear,MONTH(FebSun1+30)=2),FebSun1+30,""))</f>
        <v>42794</v>
      </c>
      <c r="D11" s="7" t="str">
        <f>IF(DAY(FebSun1)=1,IF(AND(YEAR(FebSun1+24)=CalendarYear,MONTH(FebSun1+24)=2),FebSun1+24,""),IF(AND(YEAR(FebSun1+31)=CalendarYear,MONTH(FebSun1+31)=2),FebSun1+31,""))</f>
        <v/>
      </c>
      <c r="E11" s="7" t="str">
        <f>IF(DAY(FebSun1)=1,IF(AND(YEAR(FebSun1+25)=CalendarYear,MONTH(FebSun1+25)=2),FebSun1+25,""),IF(AND(YEAR(FebSun1+32)=CalendarYear,MONTH(FebSun1+32)=2),FebSun1+32,""))</f>
        <v/>
      </c>
      <c r="F11" s="7" t="str">
        <f>IF(DAY(FebSun1)=1,IF(AND(YEAR(FebSun1+26)=CalendarYear,MONTH(FebSun1+26)=2),FebSun1+26,""),IF(AND(YEAR(FebSun1+33)=CalendarYear,MONTH(FebSun1+33)=2),FebSun1+33,""))</f>
        <v/>
      </c>
      <c r="G11" s="7" t="str">
        <f>IF(DAY(FebSun1)=1,IF(AND(YEAR(FebSun1+27)=CalendarYear,MONTH(FebSun1+27)=2),FebSun1+27,""),IF(AND(YEAR(FebSun1+34)=CalendarYear,MONTH(FebSun1+34)=2),FebSun1+34,""))</f>
        <v/>
      </c>
      <c r="H11" s="14" t="str">
        <f>IF(DAY(FebSun1)=1,IF(AND(YEAR(FebSun1+28)=CalendarYear,MONTH(FebSun1+28)=2),FebSun1+28,""),IF(AND(YEAR(FebSun1+35)=CalendarYear,MONTH(FebSun1+35)=2),FebSun1+35,""))</f>
        <v/>
      </c>
    </row>
    <row r="12" spans="1:8" ht="58" customHeight="1" x14ac:dyDescent="0.15">
      <c r="B12" s="16"/>
      <c r="C12" s="8"/>
      <c r="D12" s="9"/>
      <c r="E12" s="9"/>
      <c r="F12" s="8"/>
      <c r="G12" s="17"/>
      <c r="H12" s="18"/>
    </row>
    <row r="13" spans="1:8" ht="14" customHeight="1" x14ac:dyDescent="0.15">
      <c r="B13" s="13" t="str">
        <f>IF(DAY(FebSun1)=1,IF(AND(YEAR(FebSun1+29)=CalendarYear,MONTH(FebSun1+29)=2),FebSun1+29,""),IF(AND(YEAR(FebSun1+36)=CalendarYear,MONTH(FebSun1+36)=2),FebSun1+36,""))</f>
        <v/>
      </c>
      <c r="C13" s="7" t="str">
        <f>IF(DAY(FebSun1)=1,IF(AND(YEAR(FebSun1+30)=CalendarYear,MONTH(FebSun1+30)=2),FebSun1+30,""),IF(AND(YEAR(FebSun1+37)=CalendarYear,MONTH(FebSun1+37)=2),FebSun1+37,""))</f>
        <v/>
      </c>
      <c r="D13" s="121" t="s">
        <v>8</v>
      </c>
      <c r="E13" s="121"/>
      <c r="F13" s="121"/>
      <c r="G13" s="121"/>
      <c r="H13" s="122"/>
    </row>
    <row r="14" spans="1:8" ht="58" customHeight="1" thickBot="1" x14ac:dyDescent="0.2">
      <c r="B14" s="19"/>
      <c r="C14" s="15"/>
      <c r="D14" s="118"/>
      <c r="E14" s="119"/>
      <c r="F14" s="119"/>
      <c r="G14" s="119"/>
      <c r="H14" s="120"/>
    </row>
  </sheetData>
  <mergeCells count="3">
    <mergeCell ref="B1:H1"/>
    <mergeCell ref="D14:H14"/>
    <mergeCell ref="D13:H13"/>
  </mergeCells>
  <phoneticPr fontId="10" type="noConversion"/>
  <printOptions horizontalCentered="1" verticalCentered="1"/>
  <pageMargins left="0.5" right="0.5" top="0.75" bottom="0.75"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D13" sqref="D13:H13"/>
    </sheetView>
  </sheetViews>
  <sheetFormatPr baseColWidth="10" defaultColWidth="8.6640625" defaultRowHeight="14" x14ac:dyDescent="0.15"/>
  <cols>
    <col min="1" max="1" width="2.5" style="1" customWidth="1"/>
    <col min="2" max="8" width="17.5" customWidth="1"/>
    <col min="10" max="10" width="13.5" bestFit="1" customWidth="1"/>
    <col min="11" max="11" width="14.6640625" bestFit="1" customWidth="1"/>
  </cols>
  <sheetData>
    <row r="1" spans="1:8" s="1" customFormat="1" ht="59.25" customHeight="1" thickBot="1" x14ac:dyDescent="0.2">
      <c r="B1" s="117">
        <f>DATE(CalendarYear,3,1)</f>
        <v>42795</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IF(DAY(MarSun1)=1,"",IF(AND(YEAR(MarSun1+1)=CalendarYear,MONTH(MarSun1+1)=3),MarSun1+1,""))</f>
        <v/>
      </c>
      <c r="C3" s="7" t="str">
        <f>IF(DAY(MarSun1)=1,"",IF(AND(YEAR(MarSun1+2)=CalendarYear,MONTH(MarSun1+2)=3),MarSun1+2,""))</f>
        <v/>
      </c>
      <c r="D3" s="7">
        <f>IF(DAY(MarSun1)=1,"",IF(AND(YEAR(MarSun1+3)=CalendarYear,MONTH(MarSun1+3)=3),MarSun1+3,""))</f>
        <v>42795</v>
      </c>
      <c r="E3" s="7">
        <f>IF(DAY(MarSun1)=1,"",IF(AND(YEAR(MarSun1+4)=CalendarYear,MONTH(MarSun1+4)=3),MarSun1+4,""))</f>
        <v>42796</v>
      </c>
      <c r="F3" s="7">
        <f>IF(DAY(MarSun1)=1,"",IF(AND(YEAR(MarSun1+5)=CalendarYear,MONTH(MarSun1+5)=3),MarSun1+5,""))</f>
        <v>42797</v>
      </c>
      <c r="G3" s="7">
        <f>IF(DAY(MarSun1)=1,"",IF(AND(YEAR(MarSun1+6)=CalendarYear,MONTH(MarSun1+6)=3),MarSun1+6,""))</f>
        <v>42798</v>
      </c>
      <c r="H3" s="14">
        <f>IF(DAY(MarSun1)=1,IF(AND(YEAR(MarSun1)=CalendarYear,MONTH(MarSun1)=3),MarSun1,""),IF(AND(YEAR(MarSun1+7)=CalendarYear,MONTH(MarSun1+7)=3),MarSun1+7,""))</f>
        <v>42799</v>
      </c>
    </row>
    <row r="4" spans="1:8" ht="58" customHeight="1" x14ac:dyDescent="0.15">
      <c r="B4" s="16"/>
      <c r="C4" s="8"/>
      <c r="D4" s="9"/>
      <c r="E4" s="9"/>
      <c r="F4" s="9"/>
      <c r="G4" s="17"/>
      <c r="H4" s="18"/>
    </row>
    <row r="5" spans="1:8" ht="14" customHeight="1" x14ac:dyDescent="0.15">
      <c r="B5" s="13">
        <f>IF(DAY(MarSun1)=1,IF(AND(YEAR(MarSun1+1)=CalendarYear,MONTH(MarSun1+1)=3),MarSun1+1,""),IF(AND(YEAR(MarSun1+8)=CalendarYear,MONTH(MarSun1+8)=3),MarSun1+8,""))</f>
        <v>42800</v>
      </c>
      <c r="C5" s="7">
        <f>IF(DAY(MarSun1)=1,IF(AND(YEAR(MarSun1+2)=CalendarYear,MONTH(MarSun1+2)=3),MarSun1+2,""),IF(AND(YEAR(MarSun1+9)=CalendarYear,MONTH(MarSun1+9)=3),MarSun1+9,""))</f>
        <v>42801</v>
      </c>
      <c r="D5" s="7">
        <f>IF(DAY(MarSun1)=1,IF(AND(YEAR(MarSun1+3)=CalendarYear,MONTH(MarSun1+3)=3),MarSun1+3,""),IF(AND(YEAR(MarSun1+10)=CalendarYear,MONTH(MarSun1+10)=3),MarSun1+10,""))</f>
        <v>42802</v>
      </c>
      <c r="E5" s="7">
        <f>IF(DAY(MarSun1)=1,IF(AND(YEAR(MarSun1+4)=CalendarYear,MONTH(MarSun1+4)=3),MarSun1+4,""),IF(AND(YEAR(MarSun1+11)=CalendarYear,MONTH(MarSun1+11)=3),MarSun1+11,""))</f>
        <v>42803</v>
      </c>
      <c r="F5" s="7">
        <f>IF(DAY(MarSun1)=1,IF(AND(YEAR(MarSun1+5)=CalendarYear,MONTH(MarSun1+5)=3),MarSun1+5,""),IF(AND(YEAR(MarSun1+12)=CalendarYear,MONTH(MarSun1+12)=3),MarSun1+12,""))</f>
        <v>42804</v>
      </c>
      <c r="G5" s="7">
        <f>IF(DAY(MarSun1)=1,IF(AND(YEAR(MarSun1+6)=CalendarYear,MONTH(MarSun1+6)=3),MarSun1+6,""),IF(AND(YEAR(MarSun1+13)=CalendarYear,MONTH(MarSun1+13)=3),MarSun1+13,""))</f>
        <v>42805</v>
      </c>
      <c r="H5" s="14">
        <f>IF(DAY(MarSun1)=1,IF(AND(YEAR(MarSun1+7)=CalendarYear,MONTH(MarSun1+7)=3),MarSun1+7,""),IF(AND(YEAR(MarSun1+14)=CalendarYear,MONTH(MarSun1+14)=3),MarSun1+14,""))</f>
        <v>42806</v>
      </c>
    </row>
    <row r="6" spans="1:8" ht="58" customHeight="1" x14ac:dyDescent="0.15">
      <c r="B6" s="16"/>
      <c r="C6" s="8"/>
      <c r="D6" s="9"/>
      <c r="E6" s="9"/>
      <c r="F6" s="9"/>
      <c r="G6" s="17"/>
      <c r="H6" s="18"/>
    </row>
    <row r="7" spans="1:8" ht="14" customHeight="1" x14ac:dyDescent="0.15">
      <c r="B7" s="13">
        <f>IF(DAY(MarSun1)=1,IF(AND(YEAR(MarSun1+8)=CalendarYear,MONTH(MarSun1+8)=3),MarSun1+8,""),IF(AND(YEAR(MarSun1+15)=CalendarYear,MONTH(MarSun1+15)=3),MarSun1+15,""))</f>
        <v>42807</v>
      </c>
      <c r="C7" s="7">
        <f>IF(DAY(MarSun1)=1,IF(AND(YEAR(MarSun1+9)=CalendarYear,MONTH(MarSun1+9)=3),MarSun1+9,""),IF(AND(YEAR(MarSun1+16)=CalendarYear,MONTH(MarSun1+16)=3),MarSun1+16,""))</f>
        <v>42808</v>
      </c>
      <c r="D7" s="7">
        <f>IF(DAY(MarSun1)=1,IF(AND(YEAR(MarSun1+10)=CalendarYear,MONTH(MarSun1+10)=3),MarSun1+10,""),IF(AND(YEAR(MarSun1+17)=CalendarYear,MONTH(MarSun1+17)=3),MarSun1+17,""))</f>
        <v>42809</v>
      </c>
      <c r="E7" s="7">
        <f>IF(DAY(MarSun1)=1,IF(AND(YEAR(MarSun1+11)=CalendarYear,MONTH(MarSun1+11)=3),MarSun1+11,""),IF(AND(YEAR(MarSun1+18)=CalendarYear,MONTH(MarSun1+18)=3),MarSun1+18,""))</f>
        <v>42810</v>
      </c>
      <c r="F7" s="7">
        <f>IF(DAY(MarSun1)=1,IF(AND(YEAR(MarSun1+12)=CalendarYear,MONTH(MarSun1+12)=3),MarSun1+12,""),IF(AND(YEAR(MarSun1+19)=CalendarYear,MONTH(MarSun1+19)=3),MarSun1+19,""))</f>
        <v>42811</v>
      </c>
      <c r="G7" s="7">
        <f>IF(DAY(MarSun1)=1,IF(AND(YEAR(MarSun1+13)=CalendarYear,MONTH(MarSun1+13)=3),MarSun1+13,""),IF(AND(YEAR(MarSun1+20)=CalendarYear,MONTH(MarSun1+20)=3),MarSun1+20,""))</f>
        <v>42812</v>
      </c>
      <c r="H7" s="14">
        <f>IF(DAY(MarSun1)=1,IF(AND(YEAR(MarSun1+14)=CalendarYear,MONTH(MarSun1+14)=3),MarSun1+14,""),IF(AND(YEAR(MarSun1+21)=CalendarYear,MONTH(MarSun1+21)=3),MarSun1+21,""))</f>
        <v>42813</v>
      </c>
    </row>
    <row r="8" spans="1:8" ht="58" customHeight="1" x14ac:dyDescent="0.15">
      <c r="B8" s="16"/>
      <c r="C8" s="8"/>
      <c r="D8" s="9"/>
      <c r="E8" s="9"/>
      <c r="F8" s="9"/>
      <c r="G8" s="17"/>
      <c r="H8" s="18"/>
    </row>
    <row r="9" spans="1:8" ht="14" customHeight="1" x14ac:dyDescent="0.15">
      <c r="B9" s="13">
        <f>IF(DAY(MarSun1)=1,IF(AND(YEAR(MarSun1+15)=CalendarYear,MONTH(MarSun1+15)=3),MarSun1+15,""),IF(AND(YEAR(MarSun1+22)=CalendarYear,MONTH(MarSun1+22)=3),MarSun1+22,""))</f>
        <v>42814</v>
      </c>
      <c r="C9" s="7">
        <f>IF(DAY(MarSun1)=1,IF(AND(YEAR(MarSun1+16)=CalendarYear,MONTH(MarSun1+16)=3),MarSun1+16,""),IF(AND(YEAR(MarSun1+23)=CalendarYear,MONTH(MarSun1+23)=3),MarSun1+23,""))</f>
        <v>42815</v>
      </c>
      <c r="D9" s="7">
        <f>IF(DAY(MarSun1)=1,IF(AND(YEAR(MarSun1+17)=CalendarYear,MONTH(MarSun1+17)=3),MarSun1+17,""),IF(AND(YEAR(MarSun1+24)=CalendarYear,MONTH(MarSun1+24)=3),MarSun1+24,""))</f>
        <v>42816</v>
      </c>
      <c r="E9" s="7">
        <f>IF(DAY(MarSun1)=1,IF(AND(YEAR(MarSun1+18)=CalendarYear,MONTH(MarSun1+18)=3),MarSun1+18,""),IF(AND(YEAR(MarSun1+25)=CalendarYear,MONTH(MarSun1+25)=3),MarSun1+25,""))</f>
        <v>42817</v>
      </c>
      <c r="F9" s="7">
        <f>IF(DAY(MarSun1)=1,IF(AND(YEAR(MarSun1+19)=CalendarYear,MONTH(MarSun1+19)=3),MarSun1+19,""),IF(AND(YEAR(MarSun1+26)=CalendarYear,MONTH(MarSun1+26)=3),MarSun1+26,""))</f>
        <v>42818</v>
      </c>
      <c r="G9" s="7">
        <f>IF(DAY(MarSun1)=1,IF(AND(YEAR(MarSun1+20)=CalendarYear,MONTH(MarSun1+20)=3),MarSun1+20,""),IF(AND(YEAR(MarSun1+27)=CalendarYear,MONTH(MarSun1+27)=3),MarSun1+27,""))</f>
        <v>42819</v>
      </c>
      <c r="H9" s="14">
        <f>IF(DAY(MarSun1)=1,IF(AND(YEAR(MarSun1+21)=CalendarYear,MONTH(MarSun1+21)=3),MarSun1+21,""),IF(AND(YEAR(MarSun1+28)=CalendarYear,MONTH(MarSun1+28)=3),MarSun1+28,""))</f>
        <v>42820</v>
      </c>
    </row>
    <row r="10" spans="1:8" ht="58" customHeight="1" x14ac:dyDescent="0.15">
      <c r="B10" s="16"/>
      <c r="C10" s="8"/>
      <c r="D10" s="9"/>
      <c r="E10" s="9"/>
      <c r="F10" s="9"/>
      <c r="G10" s="17"/>
      <c r="H10" s="18"/>
    </row>
    <row r="11" spans="1:8" ht="14" customHeight="1" x14ac:dyDescent="0.15">
      <c r="B11" s="13">
        <f>IF(DAY(MarSun1)=1,IF(AND(YEAR(MarSun1+22)=CalendarYear,MONTH(MarSun1+22)=3),MarSun1+22,""),IF(AND(YEAR(MarSun1+29)=CalendarYear,MONTH(MarSun1+29)=3),MarSun1+29,""))</f>
        <v>42821</v>
      </c>
      <c r="C11" s="7">
        <f>IF(DAY(MarSun1)=1,IF(AND(YEAR(MarSun1+23)=CalendarYear,MONTH(MarSun1+23)=3),MarSun1+23,""),IF(AND(YEAR(MarSun1+30)=CalendarYear,MONTH(MarSun1+30)=3),MarSun1+30,""))</f>
        <v>42822</v>
      </c>
      <c r="D11" s="7">
        <f>IF(DAY(MarSun1)=1,IF(AND(YEAR(MarSun1+24)=CalendarYear,MONTH(MarSun1+24)=3),MarSun1+24,""),IF(AND(YEAR(MarSun1+31)=CalendarYear,MONTH(MarSun1+31)=3),MarSun1+31,""))</f>
        <v>42823</v>
      </c>
      <c r="E11" s="7">
        <f>IF(DAY(MarSun1)=1,IF(AND(YEAR(MarSun1+25)=CalendarYear,MONTH(MarSun1+25)=3),MarSun1+25,""),IF(AND(YEAR(MarSun1+32)=CalendarYear,MONTH(MarSun1+32)=3),MarSun1+32,""))</f>
        <v>42824</v>
      </c>
      <c r="F11" s="7">
        <f>IF(DAY(MarSun1)=1,IF(AND(YEAR(MarSun1+26)=CalendarYear,MONTH(MarSun1+26)=3),MarSun1+26,""),IF(AND(YEAR(MarSun1+33)=CalendarYear,MONTH(MarSun1+33)=3),MarSun1+33,""))</f>
        <v>42825</v>
      </c>
      <c r="G11" s="7" t="str">
        <f>IF(DAY(MarSun1)=1,IF(AND(YEAR(MarSun1+27)=CalendarYear,MONTH(MarSun1+27)=3),MarSun1+27,""),IF(AND(YEAR(MarSun1+34)=CalendarYear,MONTH(MarSun1+34)=3),MarSun1+34,""))</f>
        <v/>
      </c>
      <c r="H11" s="14" t="str">
        <f>IF(DAY(MarSun1)=1,IF(AND(YEAR(MarSun1+28)=CalendarYear,MONTH(MarSun1+28)=3),MarSun1+28,""),IF(AND(YEAR(MarSun1+35)=CalendarYear,MONTH(MarSun1+35)=3),MarSun1+35,""))</f>
        <v/>
      </c>
    </row>
    <row r="12" spans="1:8" ht="58" customHeight="1" x14ac:dyDescent="0.15">
      <c r="B12" s="16"/>
      <c r="C12" s="8"/>
      <c r="D12" s="9"/>
      <c r="E12" s="9"/>
      <c r="F12" s="8"/>
      <c r="G12" s="17"/>
      <c r="H12" s="18"/>
    </row>
    <row r="13" spans="1:8" ht="14" customHeight="1" x14ac:dyDescent="0.15">
      <c r="B13" s="13" t="str">
        <f>IF(DAY(MarSun1)=1,IF(AND(YEAR(MarSun1+29)=CalendarYear,MONTH(MarSun1+29)=3),MarSun1+29,""),IF(AND(YEAR(MarSun1+36)=CalendarYear,MONTH(MarSun1+36)=3),MarSun1+36,""))</f>
        <v/>
      </c>
      <c r="C13" s="7" t="str">
        <f>IF(DAY(MarSun1)=1,IF(AND(YEAR(MarSun1+30)=CalendarYear,MONTH(MarSun1+30)=3),MarSun1+30,""),IF(AND(YEAR(MarSun1+37)=CalendarYear,MONTH(MarSun1+37)=3),MarSun1+37,""))</f>
        <v/>
      </c>
      <c r="D13" s="121" t="s">
        <v>8</v>
      </c>
      <c r="E13" s="121"/>
      <c r="F13" s="121"/>
      <c r="G13" s="121"/>
      <c r="H13" s="122"/>
    </row>
    <row r="14" spans="1:8" ht="58" customHeight="1" thickBot="1" x14ac:dyDescent="0.2">
      <c r="B14" s="19"/>
      <c r="C14" s="15"/>
      <c r="D14" s="118"/>
      <c r="E14" s="119"/>
      <c r="F14" s="119"/>
      <c r="G14" s="119"/>
      <c r="H14" s="120"/>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workbookViewId="0">
      <selection activeCell="D13" sqref="D13:H13"/>
    </sheetView>
  </sheetViews>
  <sheetFormatPr baseColWidth="10" defaultColWidth="8.6640625" defaultRowHeight="14" x14ac:dyDescent="0.15"/>
  <cols>
    <col min="1" max="1" width="2.5" style="1" customWidth="1"/>
    <col min="2" max="8" width="17.5" customWidth="1"/>
    <col min="10" max="10" width="13.5" bestFit="1" customWidth="1"/>
    <col min="11" max="11" width="14.6640625" bestFit="1" customWidth="1"/>
  </cols>
  <sheetData>
    <row r="1" spans="1:8" s="1" customFormat="1" ht="59.25" customHeight="1" thickBot="1" x14ac:dyDescent="0.2">
      <c r="B1" s="117">
        <f>DATE(CalendarYear,4,1)</f>
        <v>42826</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IF(DAY(AprSun1)=1,"",IF(AND(YEAR(AprSun1+1)=CalendarYear,MONTH(AprSun1+1)=4),AprSun1+1,""))</f>
        <v/>
      </c>
      <c r="C3" s="7" t="str">
        <f>IF(DAY(AprSun1)=1,"",IF(AND(YEAR(AprSun1+2)=CalendarYear,MONTH(AprSun1+2)=4),AprSun1+2,""))</f>
        <v/>
      </c>
      <c r="D3" s="7" t="str">
        <f>IF(DAY(AprSun1)=1,"",IF(AND(YEAR(AprSun1+3)=CalendarYear,MONTH(AprSun1+3)=4),AprSun1+3,""))</f>
        <v/>
      </c>
      <c r="E3" s="7" t="str">
        <f>IF(DAY(AprSun1)=1,"",IF(AND(YEAR(AprSun1+4)=CalendarYear,MONTH(AprSun1+4)=4),AprSun1+4,""))</f>
        <v/>
      </c>
      <c r="F3" s="7" t="str">
        <f>IF(DAY(AprSun1)=1,"",IF(AND(YEAR(AprSun1+5)=CalendarYear,MONTH(AprSun1+5)=4),AprSun1+5,""))</f>
        <v/>
      </c>
      <c r="G3" s="7">
        <f>IF(DAY(AprSun1)=1,"",IF(AND(YEAR(AprSun1+6)=CalendarYear,MONTH(AprSun1+6)=4),AprSun1+6,""))</f>
        <v>42826</v>
      </c>
      <c r="H3" s="14">
        <f>IF(DAY(AprSun1)=1,IF(AND(YEAR(AprSun1)=CalendarYear,MONTH(AprSun1)=4),AprSun1,""),IF(AND(YEAR(AprSun1+7)=CalendarYear,MONTH(AprSun1+7)=4),AprSun1+7,""))</f>
        <v>42827</v>
      </c>
    </row>
    <row r="4" spans="1:8" ht="58" customHeight="1" x14ac:dyDescent="0.15">
      <c r="B4" s="16"/>
      <c r="C4" s="8"/>
      <c r="D4" s="9"/>
      <c r="E4" s="9"/>
      <c r="F4" s="9"/>
      <c r="G4" s="17"/>
      <c r="H4" s="18"/>
    </row>
    <row r="5" spans="1:8" ht="14" customHeight="1" x14ac:dyDescent="0.15">
      <c r="B5" s="13">
        <f>IF(DAY(AprSun1)=1,IF(AND(YEAR(AprSun1+1)=CalendarYear,MONTH(AprSun1+1)=4),AprSun1+1,""),IF(AND(YEAR(AprSun1+8)=CalendarYear,MONTH(AprSun1+8)=4),AprSun1+8,""))</f>
        <v>42828</v>
      </c>
      <c r="C5" s="7">
        <f>IF(DAY(AprSun1)=1,IF(AND(YEAR(AprSun1+2)=CalendarYear,MONTH(AprSun1+2)=4),AprSun1+2,""),IF(AND(YEAR(AprSun1+9)=CalendarYear,MONTH(AprSun1+9)=4),AprSun1+9,""))</f>
        <v>42829</v>
      </c>
      <c r="D5" s="7">
        <f>IF(DAY(AprSun1)=1,IF(AND(YEAR(AprSun1+3)=CalendarYear,MONTH(AprSun1+3)=4),AprSun1+3,""),IF(AND(YEAR(AprSun1+10)=CalendarYear,MONTH(AprSun1+10)=4),AprSun1+10,""))</f>
        <v>42830</v>
      </c>
      <c r="E5" s="7">
        <f>IF(DAY(AprSun1)=1,IF(AND(YEAR(AprSun1+4)=CalendarYear,MONTH(AprSun1+4)=4),AprSun1+4,""),IF(AND(YEAR(AprSun1+11)=CalendarYear,MONTH(AprSun1+11)=4),AprSun1+11,""))</f>
        <v>42831</v>
      </c>
      <c r="F5" s="7">
        <f>IF(DAY(AprSun1)=1,IF(AND(YEAR(AprSun1+5)=CalendarYear,MONTH(AprSun1+5)=4),AprSun1+5,""),IF(AND(YEAR(AprSun1+12)=CalendarYear,MONTH(AprSun1+12)=4),AprSun1+12,""))</f>
        <v>42832</v>
      </c>
      <c r="G5" s="7">
        <f>IF(DAY(AprSun1)=1,IF(AND(YEAR(AprSun1+6)=CalendarYear,MONTH(AprSun1+6)=4),AprSun1+6,""),IF(AND(YEAR(AprSun1+13)=CalendarYear,MONTH(AprSun1+13)=4),AprSun1+13,""))</f>
        <v>42833</v>
      </c>
      <c r="H5" s="14">
        <f>IF(DAY(AprSun1)=1,IF(AND(YEAR(AprSun1+7)=CalendarYear,MONTH(AprSun1+7)=4),AprSun1+7,""),IF(AND(YEAR(AprSun1+14)=CalendarYear,MONTH(AprSun1+14)=4),AprSun1+14,""))</f>
        <v>42834</v>
      </c>
    </row>
    <row r="6" spans="1:8" ht="58" customHeight="1" x14ac:dyDescent="0.15">
      <c r="B6" s="16"/>
      <c r="C6" s="8"/>
      <c r="D6" s="9"/>
      <c r="E6" s="9"/>
      <c r="F6" s="9"/>
      <c r="G6" s="17"/>
      <c r="H6" s="18"/>
    </row>
    <row r="7" spans="1:8" ht="14" customHeight="1" x14ac:dyDescent="0.15">
      <c r="B7" s="13">
        <f>IF(DAY(AprSun1)=1,IF(AND(YEAR(AprSun1+8)=CalendarYear,MONTH(AprSun1+8)=4),AprSun1+8,""),IF(AND(YEAR(AprSun1+15)=CalendarYear,MONTH(AprSun1+15)=4),AprSun1+15,""))</f>
        <v>42835</v>
      </c>
      <c r="C7" s="7">
        <f>IF(DAY(AprSun1)=1,IF(AND(YEAR(AprSun1+9)=CalendarYear,MONTH(AprSun1+9)=4),AprSun1+9,""),IF(AND(YEAR(AprSun1+16)=CalendarYear,MONTH(AprSun1+16)=4),AprSun1+16,""))</f>
        <v>42836</v>
      </c>
      <c r="D7" s="7">
        <f>IF(DAY(AprSun1)=1,IF(AND(YEAR(AprSun1+10)=CalendarYear,MONTH(AprSun1+10)=4),AprSun1+10,""),IF(AND(YEAR(AprSun1+17)=CalendarYear,MONTH(AprSun1+17)=4),AprSun1+17,""))</f>
        <v>42837</v>
      </c>
      <c r="E7" s="7">
        <f>IF(DAY(AprSun1)=1,IF(AND(YEAR(AprSun1+11)=CalendarYear,MONTH(AprSun1+11)=4),AprSun1+11,""),IF(AND(YEAR(AprSun1+18)=CalendarYear,MONTH(AprSun1+18)=4),AprSun1+18,""))</f>
        <v>42838</v>
      </c>
      <c r="F7" s="7">
        <f>IF(DAY(AprSun1)=1,IF(AND(YEAR(AprSun1+12)=CalendarYear,MONTH(AprSun1+12)=4),AprSun1+12,""),IF(AND(YEAR(AprSun1+19)=CalendarYear,MONTH(AprSun1+19)=4),AprSun1+19,""))</f>
        <v>42839</v>
      </c>
      <c r="G7" s="7">
        <f>IF(DAY(AprSun1)=1,IF(AND(YEAR(AprSun1+13)=CalendarYear,MONTH(AprSun1+13)=4),AprSun1+13,""),IF(AND(YEAR(AprSun1+20)=CalendarYear,MONTH(AprSun1+20)=4),AprSun1+20,""))</f>
        <v>42840</v>
      </c>
      <c r="H7" s="14">
        <f>IF(DAY(AprSun1)=1,IF(AND(YEAR(AprSun1+14)=CalendarYear,MONTH(AprSun1+14)=4),AprSun1+14,""),IF(AND(YEAR(AprSun1+21)=CalendarYear,MONTH(AprSun1+21)=4),AprSun1+21,""))</f>
        <v>42841</v>
      </c>
    </row>
    <row r="8" spans="1:8" ht="58" customHeight="1" x14ac:dyDescent="0.15">
      <c r="B8" s="16"/>
      <c r="C8" s="8"/>
      <c r="D8" s="9"/>
      <c r="E8" s="9"/>
      <c r="F8" s="9"/>
      <c r="G8" s="17"/>
      <c r="H8" s="18"/>
    </row>
    <row r="9" spans="1:8" ht="14" customHeight="1" x14ac:dyDescent="0.15">
      <c r="B9" s="13">
        <f>IF(DAY(AprSun1)=1,IF(AND(YEAR(AprSun1+15)=CalendarYear,MONTH(AprSun1+15)=4),AprSun1+15,""),IF(AND(YEAR(AprSun1+22)=CalendarYear,MONTH(AprSun1+22)=4),AprSun1+22,""))</f>
        <v>42842</v>
      </c>
      <c r="C9" s="7">
        <f>IF(DAY(AprSun1)=1,IF(AND(YEAR(AprSun1+16)=CalendarYear,MONTH(AprSun1+16)=4),AprSun1+16,""),IF(AND(YEAR(AprSun1+23)=CalendarYear,MONTH(AprSun1+23)=4),AprSun1+23,""))</f>
        <v>42843</v>
      </c>
      <c r="D9" s="7">
        <f>IF(DAY(AprSun1)=1,IF(AND(YEAR(AprSun1+17)=CalendarYear,MONTH(AprSun1+17)=4),AprSun1+17,""),IF(AND(YEAR(AprSun1+24)=CalendarYear,MONTH(AprSun1+24)=4),AprSun1+24,""))</f>
        <v>42844</v>
      </c>
      <c r="E9" s="7">
        <f>IF(DAY(AprSun1)=1,IF(AND(YEAR(AprSun1+18)=CalendarYear,MONTH(AprSun1+18)=4),AprSun1+18,""),IF(AND(YEAR(AprSun1+25)=CalendarYear,MONTH(AprSun1+25)=4),AprSun1+25,""))</f>
        <v>42845</v>
      </c>
      <c r="F9" s="7">
        <f>IF(DAY(AprSun1)=1,IF(AND(YEAR(AprSun1+19)=CalendarYear,MONTH(AprSun1+19)=4),AprSun1+19,""),IF(AND(YEAR(AprSun1+26)=CalendarYear,MONTH(AprSun1+26)=4),AprSun1+26,""))</f>
        <v>42846</v>
      </c>
      <c r="G9" s="7">
        <f>IF(DAY(AprSun1)=1,IF(AND(YEAR(AprSun1+20)=CalendarYear,MONTH(AprSun1+20)=4),AprSun1+20,""),IF(AND(YEAR(AprSun1+27)=CalendarYear,MONTH(AprSun1+27)=4),AprSun1+27,""))</f>
        <v>42847</v>
      </c>
      <c r="H9" s="14">
        <f>IF(DAY(AprSun1)=1,IF(AND(YEAR(AprSun1+21)=CalendarYear,MONTH(AprSun1+21)=4),AprSun1+21,""),IF(AND(YEAR(AprSun1+28)=CalendarYear,MONTH(AprSun1+28)=4),AprSun1+28,""))</f>
        <v>42848</v>
      </c>
    </row>
    <row r="10" spans="1:8" ht="58" customHeight="1" x14ac:dyDescent="0.15">
      <c r="B10" s="16"/>
      <c r="C10" s="8"/>
      <c r="D10" s="9"/>
      <c r="E10" s="9"/>
      <c r="F10" s="9"/>
      <c r="G10" s="17"/>
      <c r="H10" s="18"/>
    </row>
    <row r="11" spans="1:8" ht="14" customHeight="1" x14ac:dyDescent="0.15">
      <c r="B11" s="13">
        <f>IF(DAY(AprSun1)=1,IF(AND(YEAR(AprSun1+22)=CalendarYear,MONTH(AprSun1+22)=4),AprSun1+22,""),IF(AND(YEAR(AprSun1+29)=CalendarYear,MONTH(AprSun1+29)=4),AprSun1+29,""))</f>
        <v>42849</v>
      </c>
      <c r="C11" s="7">
        <f>IF(DAY(AprSun1)=1,IF(AND(YEAR(AprSun1+23)=CalendarYear,MONTH(AprSun1+23)=4),AprSun1+23,""),IF(AND(YEAR(AprSun1+30)=CalendarYear,MONTH(AprSun1+30)=4),AprSun1+30,""))</f>
        <v>42850</v>
      </c>
      <c r="D11" s="7">
        <f>IF(DAY(AprSun1)=1,IF(AND(YEAR(AprSun1+24)=CalendarYear,MONTH(AprSun1+24)=4),AprSun1+24,""),IF(AND(YEAR(AprSun1+31)=CalendarYear,MONTH(AprSun1+31)=4),AprSun1+31,""))</f>
        <v>42851</v>
      </c>
      <c r="E11" s="7">
        <f>IF(DAY(AprSun1)=1,IF(AND(YEAR(AprSun1+25)=CalendarYear,MONTH(AprSun1+25)=4),AprSun1+25,""),IF(AND(YEAR(AprSun1+32)=CalendarYear,MONTH(AprSun1+32)=4),AprSun1+32,""))</f>
        <v>42852</v>
      </c>
      <c r="F11" s="7">
        <f>IF(DAY(AprSun1)=1,IF(AND(YEAR(AprSun1+26)=CalendarYear,MONTH(AprSun1+26)=4),AprSun1+26,""),IF(AND(YEAR(AprSun1+33)=CalendarYear,MONTH(AprSun1+33)=4),AprSun1+33,""))</f>
        <v>42853</v>
      </c>
      <c r="G11" s="7">
        <f>IF(DAY(AprSun1)=1,IF(AND(YEAR(AprSun1+27)=CalendarYear,MONTH(AprSun1+27)=4),AprSun1+27,""),IF(AND(YEAR(AprSun1+34)=CalendarYear,MONTH(AprSun1+34)=4),AprSun1+34,""))</f>
        <v>42854</v>
      </c>
      <c r="H11" s="14">
        <f>IF(DAY(AprSun1)=1,IF(AND(YEAR(AprSun1+28)=CalendarYear,MONTH(AprSun1+28)=4),AprSun1+28,""),IF(AND(YEAR(AprSun1+35)=CalendarYear,MONTH(AprSun1+35)=4),AprSun1+35,""))</f>
        <v>42855</v>
      </c>
    </row>
    <row r="12" spans="1:8" ht="58" customHeight="1" x14ac:dyDescent="0.15">
      <c r="B12" s="16"/>
      <c r="C12" s="8"/>
      <c r="D12" s="9"/>
      <c r="E12" s="9"/>
      <c r="F12" s="8"/>
      <c r="G12" s="17"/>
      <c r="H12" s="18"/>
    </row>
    <row r="13" spans="1:8" ht="14" customHeight="1" x14ac:dyDescent="0.15">
      <c r="B13" s="13" t="str">
        <f>IF(DAY(AprSun1)=1,IF(AND(YEAR(AprSun1+29)=CalendarYear,MONTH(AprSun1+29)=4),AprSun1+29,""),IF(AND(YEAR(AprSun1+36)=CalendarYear,MONTH(AprSun1+36)=4),AprSun1+36,""))</f>
        <v/>
      </c>
      <c r="C13" s="7" t="str">
        <f>IF(DAY(AprSun1)=1,IF(AND(YEAR(AprSun1+30)=CalendarYear,MONTH(AprSun1+30)=4),AprSun1+30,""),IF(AND(YEAR(AprSun1+37)=CalendarYear,MONTH(AprSun1+37)=4),AprSun1+37,""))</f>
        <v/>
      </c>
      <c r="D13" s="121" t="s">
        <v>8</v>
      </c>
      <c r="E13" s="121"/>
      <c r="F13" s="121"/>
      <c r="G13" s="121"/>
      <c r="H13" s="122"/>
    </row>
    <row r="14" spans="1:8" ht="58" customHeight="1" thickBot="1" x14ac:dyDescent="0.2">
      <c r="B14" s="19"/>
      <c r="C14" s="15"/>
      <c r="D14" s="118"/>
      <c r="E14" s="119"/>
      <c r="F14" s="119"/>
      <c r="G14" s="119"/>
      <c r="H14" s="120"/>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topLeftCell="A6" workbookViewId="0">
      <selection activeCell="B6" sqref="B6"/>
    </sheetView>
  </sheetViews>
  <sheetFormatPr baseColWidth="10" defaultColWidth="8.6640625" defaultRowHeight="14" x14ac:dyDescent="0.15"/>
  <cols>
    <col min="1" max="1" width="2.5" style="1" customWidth="1"/>
    <col min="2" max="2" width="25" customWidth="1"/>
    <col min="3" max="5" width="17.5" customWidth="1"/>
    <col min="6" max="6" width="20.5" customWidth="1"/>
    <col min="7" max="7" width="19.5" customWidth="1"/>
    <col min="8" max="8" width="17.5" customWidth="1"/>
    <col min="10" max="10" width="13.5" bestFit="1" customWidth="1"/>
    <col min="11" max="11" width="14.6640625" bestFit="1" customWidth="1"/>
  </cols>
  <sheetData>
    <row r="1" spans="1:8" s="1" customFormat="1" ht="59.25" customHeight="1" thickBot="1" x14ac:dyDescent="0.2">
      <c r="B1" s="117">
        <f>DATE(CalendarYear,5,1)</f>
        <v>42856</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f>IF(DAY(MaySun1)=1,"",IF(AND(YEAR(MaySun1+1)=CalendarYear,MONTH(MaySun1+1)=5),MaySun1+1,""))</f>
        <v>42856</v>
      </c>
      <c r="C3" s="7">
        <f>IF(DAY(MaySun1)=1,"",IF(AND(YEAR(MaySun1+2)=CalendarYear,MONTH(MaySun1+2)=5),MaySun1+2,""))</f>
        <v>42857</v>
      </c>
      <c r="D3" s="7">
        <f>IF(DAY(MaySun1)=1,"",IF(AND(YEAR(MaySun1+3)=CalendarYear,MONTH(MaySun1+3)=5),MaySun1+3,""))</f>
        <v>42858</v>
      </c>
      <c r="E3" s="7">
        <f>IF(DAY(MaySun1)=1,"",IF(AND(YEAR(MaySun1+4)=CalendarYear,MONTH(MaySun1+4)=5),MaySun1+4,""))</f>
        <v>42859</v>
      </c>
      <c r="F3" s="7">
        <f>IF(DAY(MaySun1)=1,"",IF(AND(YEAR(MaySun1+5)=CalendarYear,MONTH(MaySun1+5)=5),MaySun1+5,""))</f>
        <v>42860</v>
      </c>
      <c r="G3" s="7">
        <f>IF(DAY(MaySun1)=1,"",IF(AND(YEAR(MaySun1+6)=CalendarYear,MONTH(MaySun1+6)=5),MaySun1+6,""))</f>
        <v>42861</v>
      </c>
      <c r="H3" s="14">
        <f>IF(DAY(MaySun1)=1,IF(AND(YEAR(MaySun1)=CalendarYear,MONTH(MaySun1)=5),MaySun1,""),IF(AND(YEAR(MaySun1+7)=CalendarYear,MONTH(MaySun1+7)=5),MaySun1+7,""))</f>
        <v>42862</v>
      </c>
    </row>
    <row r="4" spans="1:8" ht="58" customHeight="1" x14ac:dyDescent="0.15">
      <c r="B4" s="16"/>
      <c r="C4" s="8"/>
      <c r="D4" s="9"/>
      <c r="E4" s="9"/>
      <c r="F4" s="9"/>
      <c r="G4" s="17"/>
      <c r="H4" s="18"/>
    </row>
    <row r="5" spans="1:8" ht="14" customHeight="1" x14ac:dyDescent="0.15">
      <c r="B5" s="13">
        <f>IF(DAY(MaySun1)=1,IF(AND(YEAR(MaySun1+1)=CalendarYear,MONTH(MaySun1+1)=5),MaySun1+1,""),IF(AND(YEAR(MaySun1+8)=CalendarYear,MONTH(MaySun1+8)=5),MaySun1+8,""))</f>
        <v>42863</v>
      </c>
      <c r="C5" s="7">
        <f>IF(DAY(MaySun1)=1,IF(AND(YEAR(MaySun1+2)=CalendarYear,MONTH(MaySun1+2)=5),MaySun1+2,""),IF(AND(YEAR(MaySun1+9)=CalendarYear,MONTH(MaySun1+9)=5),MaySun1+9,""))</f>
        <v>42864</v>
      </c>
      <c r="D5" s="7">
        <f>IF(DAY(MaySun1)=1,IF(AND(YEAR(MaySun1+3)=CalendarYear,MONTH(MaySun1+3)=5),MaySun1+3,""),IF(AND(YEAR(MaySun1+10)=CalendarYear,MONTH(MaySun1+10)=5),MaySun1+10,""))</f>
        <v>42865</v>
      </c>
      <c r="E5" s="7">
        <f>IF(DAY(MaySun1)=1,IF(AND(YEAR(MaySun1+4)=CalendarYear,MONTH(MaySun1+4)=5),MaySun1+4,""),IF(AND(YEAR(MaySun1+11)=CalendarYear,MONTH(MaySun1+11)=5),MaySun1+11,""))</f>
        <v>42866</v>
      </c>
      <c r="F5" s="7">
        <f>IF(DAY(MaySun1)=1,IF(AND(YEAR(MaySun1+5)=CalendarYear,MONTH(MaySun1+5)=5),MaySun1+5,""),IF(AND(YEAR(MaySun1+12)=CalendarYear,MONTH(MaySun1+12)=5),MaySun1+12,""))</f>
        <v>42867</v>
      </c>
      <c r="G5" s="7">
        <f>IF(DAY(MaySun1)=1,IF(AND(YEAR(MaySun1+6)=CalendarYear,MONTH(MaySun1+6)=5),MaySun1+6,""),IF(AND(YEAR(MaySun1+13)=CalendarYear,MONTH(MaySun1+13)=5),MaySun1+13,""))</f>
        <v>42868</v>
      </c>
      <c r="H5" s="14">
        <f>IF(DAY(MaySun1)=1,IF(AND(YEAR(MaySun1+7)=CalendarYear,MONTH(MaySun1+7)=5),MaySun1+7,""),IF(AND(YEAR(MaySun1+14)=CalendarYear,MONTH(MaySun1+14)=5),MaySun1+14,""))</f>
        <v>42869</v>
      </c>
    </row>
    <row r="6" spans="1:8" ht="137" customHeight="1" x14ac:dyDescent="0.15">
      <c r="B6" s="106" t="s">
        <v>12</v>
      </c>
      <c r="C6" s="8"/>
      <c r="D6" s="9"/>
      <c r="E6" s="9"/>
      <c r="F6" s="9"/>
      <c r="G6" s="17"/>
      <c r="H6" s="18"/>
    </row>
    <row r="7" spans="1:8" x14ac:dyDescent="0.15">
      <c r="B7" s="13">
        <f>IF(DAY(MaySun1)=1,IF(AND(YEAR(MaySun1+8)=CalendarYear,MONTH(MaySun1+8)=5),MaySun1+8,""),IF(AND(YEAR(MaySun1+15)=CalendarYear,MONTH(MaySun1+15)=5),MaySun1+15,""))</f>
        <v>42870</v>
      </c>
      <c r="C7" s="7">
        <f>IF(DAY(MaySun1)=1,IF(AND(YEAR(MaySun1+9)=CalendarYear,MONTH(MaySun1+9)=5),MaySun1+9,""),IF(AND(YEAR(MaySun1+16)=CalendarYear,MONTH(MaySun1+16)=5),MaySun1+16,""))</f>
        <v>42871</v>
      </c>
      <c r="D7" s="7">
        <f>IF(DAY(MaySun1)=1,IF(AND(YEAR(MaySun1+10)=CalendarYear,MONTH(MaySun1+10)=5),MaySun1+10,""),IF(AND(YEAR(MaySun1+17)=CalendarYear,MONTH(MaySun1+17)=5),MaySun1+17,""))</f>
        <v>42872</v>
      </c>
      <c r="E7" s="7">
        <f>IF(DAY(MaySun1)=1,IF(AND(YEAR(MaySun1+11)=CalendarYear,MONTH(MaySun1+11)=5),MaySun1+11,""),IF(AND(YEAR(MaySun1+18)=CalendarYear,MONTH(MaySun1+18)=5),MaySun1+18,""))</f>
        <v>42873</v>
      </c>
      <c r="F7" s="7">
        <f>IF(DAY(MaySun1)=1,IF(AND(YEAR(MaySun1+12)=CalendarYear,MONTH(MaySun1+12)=5),MaySun1+12,""),IF(AND(YEAR(MaySun1+19)=CalendarYear,MONTH(MaySun1+19)=5),MaySun1+19,""))</f>
        <v>42874</v>
      </c>
      <c r="G7" s="7">
        <f>IF(DAY(MaySun1)=1,IF(AND(YEAR(MaySun1+13)=CalendarYear,MONTH(MaySun1+13)=5),MaySun1+13,""),IF(AND(YEAR(MaySun1+20)=CalendarYear,MONTH(MaySun1+20)=5),MaySun1+20,""))</f>
        <v>42875</v>
      </c>
      <c r="H7" s="14">
        <f>IF(DAY(MaySun1)=1,IF(AND(YEAR(MaySun1+14)=CalendarYear,MONTH(MaySun1+14)=5),MaySun1+14,""),IF(AND(YEAR(MaySun1+21)=CalendarYear,MONTH(MaySun1+21)=5),MaySun1+21,""))</f>
        <v>42876</v>
      </c>
    </row>
    <row r="8" spans="1:8" ht="207" customHeight="1" x14ac:dyDescent="0.15">
      <c r="B8" s="123" t="s">
        <v>11</v>
      </c>
      <c r="C8" s="124"/>
      <c r="D8" s="9"/>
      <c r="E8" s="9"/>
      <c r="F8" s="125" t="s">
        <v>18</v>
      </c>
      <c r="G8" s="126"/>
      <c r="H8" s="18"/>
    </row>
    <row r="9" spans="1:8" ht="14" customHeight="1" x14ac:dyDescent="0.15">
      <c r="B9" s="13">
        <f>IF(DAY(MaySun1)=1,IF(AND(YEAR(MaySun1+15)=CalendarYear,MONTH(MaySun1+15)=5),MaySun1+15,""),IF(AND(YEAR(MaySun1+22)=CalendarYear,MONTH(MaySun1+22)=5),MaySun1+22,""))</f>
        <v>42877</v>
      </c>
      <c r="C9" s="7">
        <f>IF(DAY(MaySun1)=1,IF(AND(YEAR(MaySun1+16)=CalendarYear,MONTH(MaySun1+16)=5),MaySun1+16,""),IF(AND(YEAR(MaySun1+23)=CalendarYear,MONTH(MaySun1+23)=5),MaySun1+23,""))</f>
        <v>42878</v>
      </c>
      <c r="D9" s="7">
        <f>IF(DAY(MaySun1)=1,IF(AND(YEAR(MaySun1+17)=CalendarYear,MONTH(MaySun1+17)=5),MaySun1+17,""),IF(AND(YEAR(MaySun1+24)=CalendarYear,MONTH(MaySun1+24)=5),MaySun1+24,""))</f>
        <v>42879</v>
      </c>
      <c r="E9" s="7">
        <f>IF(DAY(MaySun1)=1,IF(AND(YEAR(MaySun1+18)=CalendarYear,MONTH(MaySun1+18)=5),MaySun1+18,""),IF(AND(YEAR(MaySun1+25)=CalendarYear,MONTH(MaySun1+25)=5),MaySun1+25,""))</f>
        <v>42880</v>
      </c>
      <c r="F9" s="7">
        <f>IF(DAY(MaySun1)=1,IF(AND(YEAR(MaySun1+19)=CalendarYear,MONTH(MaySun1+19)=5),MaySun1+19,""),IF(AND(YEAR(MaySun1+26)=CalendarYear,MONTH(MaySun1+26)=5),MaySun1+26,""))</f>
        <v>42881</v>
      </c>
      <c r="G9" s="7">
        <f>IF(DAY(MaySun1)=1,IF(AND(YEAR(MaySun1+20)=CalendarYear,MONTH(MaySun1+20)=5),MaySun1+20,""),IF(AND(YEAR(MaySun1+27)=CalendarYear,MONTH(MaySun1+27)=5),MaySun1+27,""))</f>
        <v>42882</v>
      </c>
      <c r="H9" s="14">
        <f>IF(DAY(MaySun1)=1,IF(AND(YEAR(MaySun1+21)=CalendarYear,MONTH(MaySun1+21)=5),MaySun1+21,""),IF(AND(YEAR(MaySun1+28)=CalendarYear,MONTH(MaySun1+28)=5),MaySun1+28,""))</f>
        <v>42883</v>
      </c>
    </row>
    <row r="10" spans="1:8" ht="176" customHeight="1" x14ac:dyDescent="0.15">
      <c r="B10" s="105" t="s">
        <v>13</v>
      </c>
      <c r="C10" s="8"/>
      <c r="D10" s="9"/>
      <c r="E10" s="9"/>
      <c r="F10" s="9"/>
      <c r="G10" s="17"/>
      <c r="H10" s="18"/>
    </row>
    <row r="11" spans="1:8" ht="14" customHeight="1" x14ac:dyDescent="0.15">
      <c r="B11" s="13">
        <f>IF(DAY(MaySun1)=1,IF(AND(YEAR(MaySun1+22)=CalendarYear,MONTH(MaySun1+22)=5),MaySun1+22,""),IF(AND(YEAR(MaySun1+29)=CalendarYear,MONTH(MaySun1+29)=5),MaySun1+29,""))</f>
        <v>42884</v>
      </c>
      <c r="C11" s="7">
        <f>IF(DAY(MaySun1)=1,IF(AND(YEAR(MaySun1+23)=CalendarYear,MONTH(MaySun1+23)=5),MaySun1+23,""),IF(AND(YEAR(MaySun1+30)=CalendarYear,MONTH(MaySun1+30)=5),MaySun1+30,""))</f>
        <v>42885</v>
      </c>
      <c r="D11" s="7">
        <f>IF(DAY(MaySun1)=1,IF(AND(YEAR(MaySun1+24)=CalendarYear,MONTH(MaySun1+24)=5),MaySun1+24,""),IF(AND(YEAR(MaySun1+31)=CalendarYear,MONTH(MaySun1+31)=5),MaySun1+31,""))</f>
        <v>42886</v>
      </c>
      <c r="E11" s="7" t="str">
        <f>IF(DAY(MaySun1)=1,IF(AND(YEAR(MaySun1+25)=CalendarYear,MONTH(MaySun1+25)=5),MaySun1+25,""),IF(AND(YEAR(MaySun1+32)=CalendarYear,MONTH(MaySun1+32)=5),MaySun1+32,""))</f>
        <v/>
      </c>
      <c r="F11" s="7" t="str">
        <f>IF(DAY(MaySun1)=1,IF(AND(YEAR(MaySun1+26)=CalendarYear,MONTH(MaySun1+26)=5),MaySun1+26,""),IF(AND(YEAR(MaySun1+33)=CalendarYear,MONTH(MaySun1+33)=5),MaySun1+33,""))</f>
        <v/>
      </c>
      <c r="G11" s="7" t="str">
        <f>IF(DAY(MaySun1)=1,IF(AND(YEAR(MaySun1+27)=CalendarYear,MONTH(MaySun1+27)=5),MaySun1+27,""),IF(AND(YEAR(MaySun1+34)=CalendarYear,MONTH(MaySun1+34)=5),MaySun1+34,""))</f>
        <v/>
      </c>
      <c r="H11" s="14" t="str">
        <f>IF(DAY(MaySun1)=1,IF(AND(YEAR(MaySun1+28)=CalendarYear,MONTH(MaySun1+28)=5),MaySun1+28,""),IF(AND(YEAR(MaySun1+35)=CalendarYear,MONTH(MaySun1+35)=5),MaySun1+35,""))</f>
        <v/>
      </c>
    </row>
    <row r="12" spans="1:8" ht="58" customHeight="1" x14ac:dyDescent="0.15">
      <c r="B12" s="16"/>
      <c r="C12" s="8"/>
      <c r="D12" s="9"/>
      <c r="E12" s="9"/>
      <c r="F12" s="8"/>
      <c r="G12" s="17"/>
      <c r="H12" s="18"/>
    </row>
    <row r="13" spans="1:8" ht="14" customHeight="1" x14ac:dyDescent="0.15">
      <c r="B13" s="13" t="str">
        <f>IF(DAY(MaySun1)=1,IF(AND(YEAR(MaySun1+29)=CalendarYear,MONTH(MaySun1+29)=5),MaySun1+29,""),IF(AND(YEAR(MaySun1+36)=CalendarYear,MONTH(MaySun1+36)=5),MaySun1+36,""))</f>
        <v/>
      </c>
      <c r="C13" s="7" t="str">
        <f>IF(DAY(MaySun1)=1,IF(AND(YEAR(MaySun1+30)=CalendarYear,MONTH(MaySun1+30)=5),MaySun1+30,""),IF(AND(YEAR(MaySun1+37)=CalendarYear,MONTH(MaySun1+37)=5),MaySun1+37,""))</f>
        <v/>
      </c>
      <c r="D13" s="121" t="s">
        <v>8</v>
      </c>
      <c r="E13" s="121"/>
      <c r="F13" s="121"/>
      <c r="G13" s="121"/>
      <c r="H13" s="122"/>
    </row>
    <row r="14" spans="1:8" ht="58" customHeight="1" thickBot="1" x14ac:dyDescent="0.2">
      <c r="B14" s="19"/>
      <c r="C14" s="15"/>
      <c r="D14" s="118"/>
      <c r="E14" s="119"/>
      <c r="F14" s="119"/>
      <c r="G14" s="119"/>
      <c r="H14" s="120"/>
    </row>
  </sheetData>
  <mergeCells count="5">
    <mergeCell ref="B1:H1"/>
    <mergeCell ref="D13:H13"/>
    <mergeCell ref="D14:H14"/>
    <mergeCell ref="B8:C8"/>
    <mergeCell ref="F8:G8"/>
  </mergeCells>
  <phoneticPr fontId="10" type="noConversion"/>
  <printOptions horizontalCentered="1" verticalCentered="1"/>
  <pageMargins left="0.5" right="0.5" top="0.75" bottom="0.75"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5"/>
  <sheetViews>
    <sheetView showGridLines="0" topLeftCell="A8" workbookViewId="0">
      <selection activeCell="B13" sqref="B13"/>
    </sheetView>
  </sheetViews>
  <sheetFormatPr baseColWidth="10" defaultColWidth="8.6640625" defaultRowHeight="14" x14ac:dyDescent="0.15"/>
  <cols>
    <col min="1" max="1" width="2.5" style="1" customWidth="1"/>
    <col min="2" max="2" width="23.1640625" customWidth="1"/>
    <col min="3" max="4" width="17.5" customWidth="1"/>
    <col min="5" max="5" width="21.33203125" customWidth="1"/>
    <col min="6" max="6" width="32.6640625" customWidth="1"/>
    <col min="7" max="8" width="17.5" customWidth="1"/>
    <col min="10" max="10" width="13.5" bestFit="1" customWidth="1"/>
    <col min="11" max="11" width="14.6640625" bestFit="1" customWidth="1"/>
  </cols>
  <sheetData>
    <row r="1" spans="1:8" s="1" customFormat="1" ht="59.25" customHeight="1" thickBot="1" x14ac:dyDescent="0.2">
      <c r="B1" s="117">
        <f>DATE(CalendarYear,6,1)</f>
        <v>42887</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IF(DAY(JunSun1)=1,"",IF(AND(YEAR(JunSun1+1)=CalendarYear,MONTH(JunSun1+1)=6),JunSun1+1,""))</f>
        <v/>
      </c>
      <c r="C3" s="7" t="str">
        <f>IF(DAY(JunSun1)=1,"",IF(AND(YEAR(JunSun1+2)=CalendarYear,MONTH(JunSun1+2)=6),JunSun1+2,""))</f>
        <v/>
      </c>
      <c r="D3" s="7" t="str">
        <f>IF(DAY(JunSun1)=1,"",IF(AND(YEAR(JunSun1+3)=CalendarYear,MONTH(JunSun1+3)=6),JunSun1+3,""))</f>
        <v/>
      </c>
      <c r="E3" s="7">
        <f>IF(DAY(JunSun1)=1,"",IF(AND(YEAR(JunSun1+4)=CalendarYear,MONTH(JunSun1+4)=6),JunSun1+4,""))</f>
        <v>42887</v>
      </c>
      <c r="F3" s="7">
        <f>IF(DAY(JunSun1)=1,"",IF(AND(YEAR(JunSun1+5)=CalendarYear,MONTH(JunSun1+5)=6),JunSun1+5,""))</f>
        <v>42888</v>
      </c>
      <c r="G3" s="7">
        <f>IF(DAY(JunSun1)=1,"",IF(AND(YEAR(JunSun1+6)=CalendarYear,MONTH(JunSun1+6)=6),JunSun1+6,""))</f>
        <v>42889</v>
      </c>
      <c r="H3" s="14">
        <f>IF(DAY(JunSun1)=1,IF(AND(YEAR(JunSun1)=CalendarYear,MONTH(JunSun1)=6),JunSun1,""),IF(AND(YEAR(JunSun1+7)=CalendarYear,MONTH(JunSun1+7)=6),JunSun1+7,""))</f>
        <v>42890</v>
      </c>
    </row>
    <row r="4" spans="1:8" ht="58" customHeight="1" x14ac:dyDescent="0.15">
      <c r="B4" s="16"/>
      <c r="C4" s="8"/>
      <c r="D4" s="9"/>
      <c r="E4" s="9"/>
      <c r="F4" s="9"/>
      <c r="G4" s="17"/>
      <c r="H4" s="18"/>
    </row>
    <row r="5" spans="1:8" ht="14" customHeight="1" x14ac:dyDescent="0.15">
      <c r="B5" s="13">
        <f>IF(DAY(JunSun1)=1,IF(AND(YEAR(JunSun1+1)=CalendarYear,MONTH(JunSun1+1)=6),JunSun1+1,""),IF(AND(YEAR(JunSun1+8)=CalendarYear,MONTH(JunSun1+8)=6),JunSun1+8,""))</f>
        <v>42891</v>
      </c>
      <c r="C5" s="7">
        <f>IF(DAY(JunSun1)=1,IF(AND(YEAR(JunSun1+2)=CalendarYear,MONTH(JunSun1+2)=6),JunSun1+2,""),IF(AND(YEAR(JunSun1+9)=CalendarYear,MONTH(JunSun1+9)=6),JunSun1+9,""))</f>
        <v>42892</v>
      </c>
      <c r="D5" s="7">
        <f>IF(DAY(JunSun1)=1,IF(AND(YEAR(JunSun1+3)=CalendarYear,MONTH(JunSun1+3)=6),JunSun1+3,""),IF(AND(YEAR(JunSun1+10)=CalendarYear,MONTH(JunSun1+10)=6),JunSun1+10,""))</f>
        <v>42893</v>
      </c>
      <c r="E5" s="7">
        <f>IF(DAY(JunSun1)=1,IF(AND(YEAR(JunSun1+4)=CalendarYear,MONTH(JunSun1+4)=6),JunSun1+4,""),IF(AND(YEAR(JunSun1+11)=CalendarYear,MONTH(JunSun1+11)=6),JunSun1+11,""))</f>
        <v>42894</v>
      </c>
      <c r="F5" s="7">
        <f>IF(DAY(JunSun1)=1,IF(AND(YEAR(JunSun1+5)=CalendarYear,MONTH(JunSun1+5)=6),JunSun1+5,""),IF(AND(YEAR(JunSun1+12)=CalendarYear,MONTH(JunSun1+12)=6),JunSun1+12,""))</f>
        <v>42895</v>
      </c>
      <c r="G5" s="7">
        <f>IF(DAY(JunSun1)=1,IF(AND(YEAR(JunSun1+6)=CalendarYear,MONTH(JunSun1+6)=6),JunSun1+6,""),IF(AND(YEAR(JunSun1+13)=CalendarYear,MONTH(JunSun1+13)=6),JunSun1+13,""))</f>
        <v>42896</v>
      </c>
      <c r="H5" s="14">
        <f>IF(DAY(JunSun1)=1,IF(AND(YEAR(JunSun1+7)=CalendarYear,MONTH(JunSun1+7)=6),JunSun1+7,""),IF(AND(YEAR(JunSun1+14)=CalendarYear,MONTH(JunSun1+14)=6),JunSun1+14,""))</f>
        <v>42897</v>
      </c>
    </row>
    <row r="6" spans="1:8" ht="98" customHeight="1" x14ac:dyDescent="0.15">
      <c r="B6" s="83" t="s">
        <v>25</v>
      </c>
      <c r="C6" s="81" t="s">
        <v>14</v>
      </c>
      <c r="D6" s="9"/>
      <c r="E6" s="9"/>
      <c r="F6" s="82" t="s">
        <v>17</v>
      </c>
      <c r="G6" s="85" t="s">
        <v>34</v>
      </c>
      <c r="H6" s="18"/>
    </row>
    <row r="7" spans="1:8" ht="14" customHeight="1" x14ac:dyDescent="0.15">
      <c r="B7" s="13">
        <f>IF(DAY(JunSun1)=1,IF(AND(YEAR(JunSun1+8)=CalendarYear,MONTH(JunSun1+8)=6),JunSun1+8,""),IF(AND(YEAR(JunSun1+15)=CalendarYear,MONTH(JunSun1+15)=6),JunSun1+15,""))</f>
        <v>42898</v>
      </c>
      <c r="C7" s="7">
        <f>IF(DAY(JunSun1)=1,IF(AND(YEAR(JunSun1+9)=CalendarYear,MONTH(JunSun1+9)=6),JunSun1+9,""),IF(AND(YEAR(JunSun1+16)=CalendarYear,MONTH(JunSun1+16)=6),JunSun1+16,""))</f>
        <v>42899</v>
      </c>
      <c r="D7" s="7">
        <f>IF(DAY(JunSun1)=1,IF(AND(YEAR(JunSun1+10)=CalendarYear,MONTH(JunSun1+10)=6),JunSun1+10,""),IF(AND(YEAR(JunSun1+17)=CalendarYear,MONTH(JunSun1+17)=6),JunSun1+17,""))</f>
        <v>42900</v>
      </c>
      <c r="E7" s="7">
        <f>IF(DAY(JunSun1)=1,IF(AND(YEAR(JunSun1+11)=CalendarYear,MONTH(JunSun1+11)=6),JunSun1+11,""),IF(AND(YEAR(JunSun1+18)=CalendarYear,MONTH(JunSun1+18)=6),JunSun1+18,""))</f>
        <v>42901</v>
      </c>
      <c r="F7" s="7">
        <f>IF(DAY(JunSun1)=1,IF(AND(YEAR(JunSun1+12)=CalendarYear,MONTH(JunSun1+12)=6),JunSun1+12,""),IF(AND(YEAR(JunSun1+19)=CalendarYear,MONTH(JunSun1+19)=6),JunSun1+19,""))</f>
        <v>42902</v>
      </c>
      <c r="G7" s="7">
        <f>IF(DAY(JunSun1)=1,IF(AND(YEAR(JunSun1+13)=CalendarYear,MONTH(JunSun1+13)=6),JunSun1+13,""),IF(AND(YEAR(JunSun1+20)=CalendarYear,MONTH(JunSun1+20)=6),JunSun1+20,""))</f>
        <v>42903</v>
      </c>
      <c r="H7" s="14">
        <f>IF(DAY(JunSun1)=1,IF(AND(YEAR(JunSun1+14)=CalendarYear,MONTH(JunSun1+14)=6),JunSun1+14,""),IF(AND(YEAR(JunSun1+21)=CalendarYear,MONTH(JunSun1+21)=6),JunSun1+21,""))</f>
        <v>42904</v>
      </c>
    </row>
    <row r="8" spans="1:8" ht="80" customHeight="1" x14ac:dyDescent="0.15">
      <c r="B8" s="16"/>
      <c r="C8" s="8"/>
      <c r="D8" s="9"/>
      <c r="E8" s="9"/>
      <c r="F8" s="9"/>
      <c r="G8" s="17"/>
      <c r="H8" s="18"/>
    </row>
    <row r="9" spans="1:8" ht="14" customHeight="1" x14ac:dyDescent="0.15">
      <c r="B9" s="13">
        <f>IF(DAY(JunSun1)=1,IF(AND(YEAR(JunSun1+15)=CalendarYear,MONTH(JunSun1+15)=6),JunSun1+15,""),IF(AND(YEAR(JunSun1+22)=CalendarYear,MONTH(JunSun1+22)=6),JunSun1+22,""))</f>
        <v>42905</v>
      </c>
      <c r="C9" s="7">
        <f>IF(DAY(JunSun1)=1,IF(AND(YEAR(JunSun1+16)=CalendarYear,MONTH(JunSun1+16)=6),JunSun1+16,""),IF(AND(YEAR(JunSun1+23)=CalendarYear,MONTH(JunSun1+23)=6),JunSun1+23,""))</f>
        <v>42906</v>
      </c>
      <c r="D9" s="7">
        <f>IF(DAY(JunSun1)=1,IF(AND(YEAR(JunSun1+17)=CalendarYear,MONTH(JunSun1+17)=6),JunSun1+17,""),IF(AND(YEAR(JunSun1+24)=CalendarYear,MONTH(JunSun1+24)=6),JunSun1+24,""))</f>
        <v>42907</v>
      </c>
      <c r="E9" s="7">
        <f>IF(DAY(JunSun1)=1,IF(AND(YEAR(JunSun1+18)=CalendarYear,MONTH(JunSun1+18)=6),JunSun1+18,""),IF(AND(YEAR(JunSun1+25)=CalendarYear,MONTH(JunSun1+25)=6),JunSun1+25,""))</f>
        <v>42908</v>
      </c>
      <c r="F9" s="7">
        <f>IF(DAY(JunSun1)=1,IF(AND(YEAR(JunSun1+19)=CalendarYear,MONTH(JunSun1+19)=6),JunSun1+19,""),IF(AND(YEAR(JunSun1+26)=CalendarYear,MONTH(JunSun1+26)=6),JunSun1+26,""))</f>
        <v>42909</v>
      </c>
      <c r="G9" s="7">
        <f>IF(DAY(JunSun1)=1,IF(AND(YEAR(JunSun1+20)=CalendarYear,MONTH(JunSun1+20)=6),JunSun1+20,""),IF(AND(YEAR(JunSun1+27)=CalendarYear,MONTH(JunSun1+27)=6),JunSun1+27,""))</f>
        <v>42910</v>
      </c>
      <c r="H9" s="14">
        <f>IF(DAY(JunSun1)=1,IF(AND(YEAR(JunSun1+21)=CalendarYear,MONTH(JunSun1+21)=6),JunSun1+21,""),IF(AND(YEAR(JunSun1+28)=CalendarYear,MONTH(JunSun1+28)=6),JunSun1+28,""))</f>
        <v>42911</v>
      </c>
    </row>
    <row r="10" spans="1:8" ht="58" customHeight="1" x14ac:dyDescent="0.15">
      <c r="B10" s="16"/>
      <c r="C10" s="8"/>
      <c r="D10" s="9"/>
      <c r="E10" s="130" t="s">
        <v>19</v>
      </c>
      <c r="F10" s="131"/>
      <c r="G10" s="132"/>
      <c r="H10" s="18"/>
    </row>
    <row r="11" spans="1:8" ht="153" customHeight="1" x14ac:dyDescent="0.15">
      <c r="B11" s="13"/>
      <c r="C11" s="7"/>
      <c r="D11" s="7"/>
      <c r="E11" s="7"/>
      <c r="F11" s="107" t="s">
        <v>20</v>
      </c>
      <c r="G11" s="7" t="str">
        <f>IF(DAY(JunSun1)=1,IF(AND(YEAR(JunSun1+27)=CalendarYear,MONTH(JunSun1+27)=6),JunSun1+27,""),IF(AND(YEAR(JunSun1+34)=CalendarYear,MONTH(JunSun1+34)=6),JunSun1+34,""))</f>
        <v/>
      </c>
      <c r="H11" s="14" t="str">
        <f>IF(DAY(JunSun1)=1,IF(AND(YEAR(JunSun1+28)=CalendarYear,MONTH(JunSun1+28)=6),JunSun1+28,""),IF(AND(YEAR(JunSun1+35)=CalendarYear,MONTH(JunSun1+35)=6),JunSun1+35,""))</f>
        <v/>
      </c>
    </row>
    <row r="12" spans="1:8" s="5" customFormat="1" ht="14" customHeight="1" x14ac:dyDescent="0.15">
      <c r="A12" s="1"/>
      <c r="B12" s="13">
        <f>IF(DAY(JunSun1)=1,IF(AND(YEAR(JunSun1+22)=CalendarYear,MONTH(JunSun1+22)=6),JunSun1+22,""),IF(AND(YEAR(JunSun1+29)=CalendarYear,MONTH(JunSun1+29)=6),JunSun1+29,""))</f>
        <v>42912</v>
      </c>
      <c r="C12" s="7">
        <f>IF(DAY(JunSun1)=1,IF(AND(YEAR(JunSun1+23)=CalendarYear,MONTH(JunSun1+23)=6),JunSun1+23,""),IF(AND(YEAR(JunSun1+30)=CalendarYear,MONTH(JunSun1+30)=6),JunSun1+30,""))</f>
        <v>42913</v>
      </c>
      <c r="D12" s="7">
        <f>IF(DAY(JunSun1)=1,IF(AND(YEAR(JunSun1+24)=CalendarYear,MONTH(JunSun1+24)=6),JunSun1+24,""),IF(AND(YEAR(JunSun1+31)=CalendarYear,MONTH(JunSun1+31)=6),JunSun1+31,""))</f>
        <v>42914</v>
      </c>
      <c r="E12" s="7">
        <f>IF(DAY(JunSun1)=1,IF(AND(YEAR(JunSun1+25)=CalendarYear,MONTH(JunSun1+25)=6),JunSun1+25,""),IF(AND(YEAR(JunSun1+32)=CalendarYear,MONTH(JunSun1+32)=6),JunSun1+32,""))</f>
        <v>42915</v>
      </c>
      <c r="F12" s="7">
        <f>IF(DAY(JunSun1)=1,IF(AND(YEAR(JunSun1+26)=CalendarYear,MONTH(JunSun1+26)=6),JunSun1+26,""),IF(AND(YEAR(JunSun1+33)=CalendarYear,MONTH(JunSun1+33)=6),JunSun1+33,""))</f>
        <v>42916</v>
      </c>
      <c r="G12" s="7" t="str">
        <f>IF(DAY(JunSun1)=1,IF(AND(YEAR(JunSun1+27)=CalendarYear,MONTH(JunSun1+27)=6),JunSun1+27,""),IF(AND(YEAR(JunSun1+34)=CalendarYear,MONTH(JunSun1+34)=6),JunSun1+34,""))</f>
        <v/>
      </c>
      <c r="H12" s="14" t="str">
        <f>IF(DAY(JunSun1)=1,IF(AND(YEAR(JunSun1+28)=CalendarYear,MONTH(JunSun1+28)=6),JunSun1+28,""),IF(AND(YEAR(JunSun1+35)=CalendarYear,MONTH(JunSun1+35)=6),JunSun1+35,""))</f>
        <v/>
      </c>
    </row>
    <row r="13" spans="1:8" ht="121" customHeight="1" x14ac:dyDescent="0.15">
      <c r="B13" s="108" t="s">
        <v>26</v>
      </c>
      <c r="C13" s="8"/>
      <c r="D13" s="9"/>
      <c r="E13" s="9"/>
      <c r="F13" s="8"/>
      <c r="G13" s="17"/>
      <c r="H13" s="18"/>
    </row>
    <row r="14" spans="1:8" ht="14" customHeight="1" x14ac:dyDescent="0.15">
      <c r="B14" s="13" t="str">
        <f>IF(DAY(JunSun1)=1,IF(AND(YEAR(JunSun1+29)=CalendarYear,MONTH(JunSun1+29)=6),JunSun1+29,""),IF(AND(YEAR(JunSun1+36)=CalendarYear,MONTH(JunSun1+36)=6),JunSun1+36,""))</f>
        <v/>
      </c>
      <c r="C14" s="7" t="str">
        <f>IF(DAY(JunSun1)=1,IF(AND(YEAR(JunSun1+30)=CalendarYear,MONTH(JunSun1+30)=6),JunSun1+30,""),IF(AND(YEAR(JunSun1+37)=CalendarYear,MONTH(JunSun1+37)=6),JunSun1+37,""))</f>
        <v/>
      </c>
      <c r="D14" s="127" t="s">
        <v>8</v>
      </c>
      <c r="E14" s="128"/>
      <c r="F14" s="128"/>
      <c r="G14" s="128"/>
      <c r="H14" s="129"/>
    </row>
    <row r="15" spans="1:8" ht="58" customHeight="1" thickBot="1" x14ac:dyDescent="0.2">
      <c r="B15" s="19"/>
      <c r="C15" s="15"/>
      <c r="D15" s="118"/>
      <c r="E15" s="119"/>
      <c r="F15" s="119"/>
      <c r="G15" s="119"/>
      <c r="H15" s="120"/>
    </row>
  </sheetData>
  <mergeCells count="4">
    <mergeCell ref="B1:H1"/>
    <mergeCell ref="D14:H14"/>
    <mergeCell ref="D15:H15"/>
    <mergeCell ref="E10:G10"/>
  </mergeCells>
  <phoneticPr fontId="10" type="noConversion"/>
  <printOptions horizontalCentered="1" verticalCentered="1"/>
  <pageMargins left="0.5" right="0.5" top="0.75" bottom="0.75" header="0.5" footer="0.5"/>
  <pageSetup orientation="portrait" horizontalDpi="0" verticalDpi="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topLeftCell="A4" workbookViewId="0">
      <selection activeCell="F10" sqref="F10"/>
    </sheetView>
  </sheetViews>
  <sheetFormatPr baseColWidth="10" defaultColWidth="8.6640625" defaultRowHeight="14" x14ac:dyDescent="0.15"/>
  <cols>
    <col min="1" max="1" width="2.5" style="1" customWidth="1"/>
    <col min="2" max="2" width="25.1640625" customWidth="1"/>
    <col min="3" max="3" width="21.6640625" customWidth="1"/>
    <col min="4" max="4" width="20.6640625" customWidth="1"/>
    <col min="5" max="5" width="20.1640625" customWidth="1"/>
    <col min="6" max="6" width="24.83203125" customWidth="1"/>
    <col min="7" max="8" width="17.5" customWidth="1"/>
    <col min="10" max="10" width="13.5" bestFit="1" customWidth="1"/>
    <col min="11" max="11" width="14.6640625" bestFit="1" customWidth="1"/>
  </cols>
  <sheetData>
    <row r="1" spans="1:8" s="1" customFormat="1" ht="59.25" customHeight="1" thickBot="1" x14ac:dyDescent="0.2">
      <c r="B1" s="117">
        <f>DATE(CalendarYear,7,1)</f>
        <v>42917</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IF(DAY(JulSun1)=1,"",IF(AND(YEAR(JulSun1+1)=CalendarYear,MONTH(JulSun1+1)=7),JulSun1+1,""))</f>
        <v/>
      </c>
      <c r="C3" s="7" t="str">
        <f>IF(DAY(JulSun1)=1,"",IF(AND(YEAR(JulSun1+2)=CalendarYear,MONTH(JulSun1+2)=7),JulSun1+2,""))</f>
        <v/>
      </c>
      <c r="D3" s="7" t="str">
        <f>IF(DAY(JulSun1)=1,"",IF(AND(YEAR(JulSun1+3)=CalendarYear,MONTH(JulSun1+3)=7),JulSun1+3,""))</f>
        <v/>
      </c>
      <c r="E3" s="7" t="str">
        <f>IF(DAY(JulSun1)=1,"",IF(AND(YEAR(JulSun1+4)=CalendarYear,MONTH(JulSun1+4)=7),JulSun1+4,""))</f>
        <v/>
      </c>
      <c r="F3" s="7" t="str">
        <f>IF(DAY(JulSun1)=1,"",IF(AND(YEAR(JulSun1+5)=CalendarYear,MONTH(JulSun1+5)=7),JulSun1+5,""))</f>
        <v/>
      </c>
      <c r="G3" s="7">
        <f>IF(DAY(JulSun1)=1,"",IF(AND(YEAR(JulSun1+6)=CalendarYear,MONTH(JulSun1+6)=7),JulSun1+6,""))</f>
        <v>42917</v>
      </c>
      <c r="H3" s="14">
        <f>IF(DAY(JulSun1)=1,IF(AND(YEAR(JulSun1)=CalendarYear,MONTH(JulSun1)=7),JulSun1,""),IF(AND(YEAR(JulSun1+7)=CalendarYear,MONTH(JulSun1+7)=7),JulSun1+7,""))</f>
        <v>42918</v>
      </c>
    </row>
    <row r="4" spans="1:8" ht="58" customHeight="1" x14ac:dyDescent="0.15">
      <c r="B4" s="16"/>
      <c r="C4" s="8"/>
      <c r="D4" s="9"/>
      <c r="E4" s="9"/>
      <c r="F4" s="9"/>
      <c r="G4" s="17"/>
      <c r="H4" s="18"/>
    </row>
    <row r="5" spans="1:8" ht="14" customHeight="1" x14ac:dyDescent="0.15">
      <c r="B5" s="13">
        <f>IF(DAY(JulSun1)=1,IF(AND(YEAR(JulSun1+1)=CalendarYear,MONTH(JulSun1+1)=7),JulSun1+1,""),IF(AND(YEAR(JulSun1+8)=CalendarYear,MONTH(JulSun1+8)=7),JulSun1+8,""))</f>
        <v>42919</v>
      </c>
      <c r="C5" s="7">
        <f>IF(DAY(JulSun1)=1,IF(AND(YEAR(JulSun1+2)=CalendarYear,MONTH(JulSun1+2)=7),JulSun1+2,""),IF(AND(YEAR(JulSun1+9)=CalendarYear,MONTH(JulSun1+9)=7),JulSun1+9,""))</f>
        <v>42920</v>
      </c>
      <c r="D5" s="7">
        <f>IF(DAY(JulSun1)=1,IF(AND(YEAR(JulSun1+3)=CalendarYear,MONTH(JulSun1+3)=7),JulSun1+3,""),IF(AND(YEAR(JulSun1+10)=CalendarYear,MONTH(JulSun1+10)=7),JulSun1+10,""))</f>
        <v>42921</v>
      </c>
      <c r="E5" s="7">
        <f>IF(DAY(JulSun1)=1,IF(AND(YEAR(JulSun1+4)=CalendarYear,MONTH(JulSun1+4)=7),JulSun1+4,""),IF(AND(YEAR(JulSun1+11)=CalendarYear,MONTH(JulSun1+11)=7),JulSun1+11,""))</f>
        <v>42922</v>
      </c>
      <c r="F5" s="7">
        <f>IF(DAY(JulSun1)=1,IF(AND(YEAR(JulSun1+5)=CalendarYear,MONTH(JulSun1+5)=7),JulSun1+5,""),IF(AND(YEAR(JulSun1+12)=CalendarYear,MONTH(JulSun1+12)=7),JulSun1+12,""))</f>
        <v>42923</v>
      </c>
      <c r="G5" s="7">
        <f>IF(DAY(JulSun1)=1,IF(AND(YEAR(JulSun1+6)=CalendarYear,MONTH(JulSun1+6)=7),JulSun1+6,""),IF(AND(YEAR(JulSun1+13)=CalendarYear,MONTH(JulSun1+13)=7),JulSun1+13,""))</f>
        <v>42924</v>
      </c>
      <c r="H5" s="14">
        <f>IF(DAY(JulSun1)=1,IF(AND(YEAR(JulSun1+7)=CalendarYear,MONTH(JulSun1+7)=7),JulSun1+7,""),IF(AND(YEAR(JulSun1+14)=CalendarYear,MONTH(JulSun1+14)=7),JulSun1+14,""))</f>
        <v>42925</v>
      </c>
    </row>
    <row r="6" spans="1:8" ht="75" customHeight="1" x14ac:dyDescent="0.15">
      <c r="B6" s="109" t="s">
        <v>32</v>
      </c>
      <c r="C6" s="8"/>
      <c r="D6" s="9"/>
      <c r="E6" s="9"/>
      <c r="F6" s="9"/>
      <c r="G6" s="17"/>
      <c r="H6" s="18"/>
    </row>
    <row r="7" spans="1:8" ht="14" customHeight="1" x14ac:dyDescent="0.15">
      <c r="B7" s="79">
        <f>IF(DAY(JulSun1)=1,IF(AND(YEAR(JulSun1+8)=CalendarYear,MONTH(JulSun1+8)=7),JulSun1+8,""),IF(AND(YEAR(JulSun1+15)=CalendarYear,MONTH(JulSun1+15)=7),JulSun1+15,""))</f>
        <v>42926</v>
      </c>
      <c r="C7" s="44">
        <f>IF(DAY(JulSun1)=1,IF(AND(YEAR(JulSun1+9)=CalendarYear,MONTH(JulSun1+9)=7),JulSun1+9,""),IF(AND(YEAR(JulSun1+16)=CalendarYear,MONTH(JulSun1+16)=7),JulSun1+16,""))</f>
        <v>42927</v>
      </c>
      <c r="D7" s="7">
        <f>IF(DAY(JulSun1)=1,IF(AND(YEAR(JulSun1+10)=CalendarYear,MONTH(JulSun1+10)=7),JulSun1+10,""),IF(AND(YEAR(JulSun1+17)=CalendarYear,MONTH(JulSun1+17)=7),JulSun1+17,""))</f>
        <v>42928</v>
      </c>
      <c r="E7" s="7">
        <f>IF(DAY(JulSun1)=1,IF(AND(YEAR(JulSun1+11)=CalendarYear,MONTH(JulSun1+11)=7),JulSun1+11,""),IF(AND(YEAR(JulSun1+18)=CalendarYear,MONTH(JulSun1+18)=7),JulSun1+18,""))</f>
        <v>42929</v>
      </c>
      <c r="F7" s="7">
        <f>IF(DAY(JulSun1)=1,IF(AND(YEAR(JulSun1+12)=CalendarYear,MONTH(JulSun1+12)=7),JulSun1+12,""),IF(AND(YEAR(JulSun1+19)=CalendarYear,MONTH(JulSun1+19)=7),JulSun1+19,""))</f>
        <v>42930</v>
      </c>
      <c r="G7" s="7">
        <f>IF(DAY(JulSun1)=1,IF(AND(YEAR(JulSun1+13)=CalendarYear,MONTH(JulSun1+13)=7),JulSun1+13,""),IF(AND(YEAR(JulSun1+20)=CalendarYear,MONTH(JulSun1+20)=7),JulSun1+20,""))</f>
        <v>42931</v>
      </c>
      <c r="H7" s="14">
        <f>IF(DAY(JulSun1)=1,IF(AND(YEAR(JulSun1+14)=CalendarYear,MONTH(JulSun1+14)=7),JulSun1+14,""),IF(AND(YEAR(JulSun1+21)=CalendarYear,MONTH(JulSun1+21)=7),JulSun1+21,""))</f>
        <v>42932</v>
      </c>
    </row>
    <row r="8" spans="1:8" ht="111" customHeight="1" x14ac:dyDescent="0.15">
      <c r="B8" s="110" t="s">
        <v>30</v>
      </c>
      <c r="C8" s="110" t="s">
        <v>29</v>
      </c>
      <c r="D8" s="86"/>
      <c r="E8" s="9"/>
      <c r="F8" s="9"/>
      <c r="G8" s="17"/>
      <c r="H8" s="18"/>
    </row>
    <row r="9" spans="1:8" ht="14" customHeight="1" x14ac:dyDescent="0.15">
      <c r="B9" s="80">
        <f>IF(DAY(JulSun1)=1,IF(AND(YEAR(JulSun1+15)=CalendarYear,MONTH(JulSun1+15)=7),JulSun1+15,""),IF(AND(YEAR(JulSun1+22)=CalendarYear,MONTH(JulSun1+22)=7),JulSun1+22,""))</f>
        <v>42933</v>
      </c>
      <c r="C9" s="87">
        <f>IF(DAY(JulSun1)=1,IF(AND(YEAR(JulSun1+16)=CalendarYear,MONTH(JulSun1+16)=7),JulSun1+16,""),IF(AND(YEAR(JulSun1+23)=CalendarYear,MONTH(JulSun1+23)=7),JulSun1+23,""))</f>
        <v>42934</v>
      </c>
      <c r="D9" s="7">
        <f>IF(DAY(JulSun1)=1,IF(AND(YEAR(JulSun1+17)=CalendarYear,MONTH(JulSun1+17)=7),JulSun1+17,""),IF(AND(YEAR(JulSun1+24)=CalendarYear,MONTH(JulSun1+24)=7),JulSun1+24,""))</f>
        <v>42935</v>
      </c>
      <c r="E9" s="7">
        <f>IF(DAY(JulSun1)=1,IF(AND(YEAR(JulSun1+18)=CalendarYear,MONTH(JulSun1+18)=7),JulSun1+18,""),IF(AND(YEAR(JulSun1+25)=CalendarYear,MONTH(JulSun1+25)=7),JulSun1+25,""))</f>
        <v>42936</v>
      </c>
      <c r="F9" s="7">
        <f>IF(DAY(JulSun1)=1,IF(AND(YEAR(JulSun1+19)=CalendarYear,MONTH(JulSun1+19)=7),JulSun1+19,""),IF(AND(YEAR(JulSun1+26)=CalendarYear,MONTH(JulSun1+26)=7),JulSun1+26,""))</f>
        <v>42937</v>
      </c>
      <c r="G9" s="7">
        <f>IF(DAY(JulSun1)=1,IF(AND(YEAR(JulSun1+20)=CalendarYear,MONTH(JulSun1+20)=7),JulSun1+20,""),IF(AND(YEAR(JulSun1+27)=CalendarYear,MONTH(JulSun1+27)=7),JulSun1+27,""))</f>
        <v>42938</v>
      </c>
      <c r="H9" s="14">
        <f>IF(DAY(JulSun1)=1,IF(AND(YEAR(JulSun1+21)=CalendarYear,MONTH(JulSun1+21)=7),JulSun1+21,""),IF(AND(YEAR(JulSun1+28)=CalendarYear,MONTH(JulSun1+28)=7),JulSun1+28,""))</f>
        <v>42939</v>
      </c>
    </row>
    <row r="10" spans="1:8" ht="84" customHeight="1" x14ac:dyDescent="0.15">
      <c r="B10" s="16"/>
      <c r="C10" s="8"/>
      <c r="D10" s="9"/>
      <c r="E10" s="9"/>
      <c r="F10" s="111" t="s">
        <v>31</v>
      </c>
      <c r="G10" s="17"/>
      <c r="H10" s="18"/>
    </row>
    <row r="11" spans="1:8" ht="14" customHeight="1" x14ac:dyDescent="0.15">
      <c r="B11" s="13">
        <f>IF(DAY(JulSun1)=1,IF(AND(YEAR(JulSun1+22)=CalendarYear,MONTH(JulSun1+22)=7),JulSun1+22,""),IF(AND(YEAR(JulSun1+29)=CalendarYear,MONTH(JulSun1+29)=7),JulSun1+29,""))</f>
        <v>42940</v>
      </c>
      <c r="C11" s="7">
        <f>IF(DAY(JulSun1)=1,IF(AND(YEAR(JulSun1+23)=CalendarYear,MONTH(JulSun1+23)=7),JulSun1+23,""),IF(AND(YEAR(JulSun1+30)=CalendarYear,MONTH(JulSun1+30)=7),JulSun1+30,""))</f>
        <v>42941</v>
      </c>
      <c r="D11" s="7">
        <f>IF(DAY(JulSun1)=1,IF(AND(YEAR(JulSun1+24)=CalendarYear,MONTH(JulSun1+24)=7),JulSun1+24,""),IF(AND(YEAR(JulSun1+31)=CalendarYear,MONTH(JulSun1+31)=7),JulSun1+31,""))</f>
        <v>42942</v>
      </c>
      <c r="E11" s="7">
        <f>IF(DAY(JulSun1)=1,IF(AND(YEAR(JulSun1+25)=CalendarYear,MONTH(JulSun1+25)=7),JulSun1+25,""),IF(AND(YEAR(JulSun1+32)=CalendarYear,MONTH(JulSun1+32)=7),JulSun1+32,""))</f>
        <v>42943</v>
      </c>
      <c r="F11" s="7">
        <f>IF(DAY(JulSun1)=1,IF(AND(YEAR(JulSun1+26)=CalendarYear,MONTH(JulSun1+26)=7),JulSun1+26,""),IF(AND(YEAR(JulSun1+33)=CalendarYear,MONTH(JulSun1+33)=7),JulSun1+33,""))</f>
        <v>42944</v>
      </c>
      <c r="G11" s="7">
        <f>IF(DAY(JulSun1)=1,IF(AND(YEAR(JulSun1+27)=CalendarYear,MONTH(JulSun1+27)=7),JulSun1+27,""),IF(AND(YEAR(JulSun1+34)=CalendarYear,MONTH(JulSun1+34)=7),JulSun1+34,""))</f>
        <v>42945</v>
      </c>
      <c r="H11" s="14">
        <f>IF(DAY(JulSun1)=1,IF(AND(YEAR(JulSun1+28)=CalendarYear,MONTH(JulSun1+28)=7),JulSun1+28,""),IF(AND(YEAR(JulSun1+35)=CalendarYear,MONTH(JulSun1+35)=7),JulSun1+35,""))</f>
        <v>42946</v>
      </c>
    </row>
    <row r="12" spans="1:8" ht="58" customHeight="1" x14ac:dyDescent="0.15">
      <c r="B12" s="16"/>
      <c r="C12" s="8"/>
      <c r="D12" s="9"/>
      <c r="E12" s="9"/>
      <c r="F12" s="8"/>
      <c r="G12" s="17"/>
      <c r="H12" s="18"/>
    </row>
    <row r="13" spans="1:8" ht="14" customHeight="1" x14ac:dyDescent="0.15">
      <c r="B13" s="13">
        <f>IF(DAY(JulSun1)=1,IF(AND(YEAR(JulSun1+29)=CalendarYear,MONTH(JulSun1+29)=7),JulSun1+29,""),IF(AND(YEAR(JulSun1+36)=CalendarYear,MONTH(JulSun1+36)=7),JulSun1+36,""))</f>
        <v>42947</v>
      </c>
      <c r="C13" s="7" t="str">
        <f>IF(DAY(JulSun1)=1,IF(AND(YEAR(JulSun1+30)=CalendarYear,MONTH(JulSun1+30)=7),JulSun1+30,""),IF(AND(YEAR(JulSun1+37)=CalendarYear,MONTH(JulSun1+37)=7),JulSun1+37,""))</f>
        <v/>
      </c>
      <c r="D13" s="121" t="s">
        <v>8</v>
      </c>
      <c r="E13" s="121"/>
      <c r="F13" s="121"/>
      <c r="G13" s="121"/>
      <c r="H13" s="122"/>
    </row>
    <row r="14" spans="1:8" ht="58" customHeight="1" thickBot="1" x14ac:dyDescent="0.2">
      <c r="B14" s="19"/>
      <c r="C14" s="15"/>
      <c r="D14" s="118"/>
      <c r="E14" s="119"/>
      <c r="F14" s="119"/>
      <c r="G14" s="119"/>
      <c r="H14" s="120"/>
    </row>
  </sheetData>
  <mergeCells count="3">
    <mergeCell ref="B1:H1"/>
    <mergeCell ref="D13:H13"/>
    <mergeCell ref="D14:H14"/>
  </mergeCells>
  <phoneticPr fontId="10" type="noConversion"/>
  <printOptions horizontalCentered="1" verticalCentered="1"/>
  <pageMargins left="0.5" right="0.5" top="0.75" bottom="0.75"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5"/>
  <sheetViews>
    <sheetView showGridLines="0" topLeftCell="A10" workbookViewId="0">
      <selection activeCell="F13" sqref="F13"/>
    </sheetView>
  </sheetViews>
  <sheetFormatPr baseColWidth="10" defaultColWidth="8.6640625" defaultRowHeight="14" x14ac:dyDescent="0.15"/>
  <cols>
    <col min="1" max="1" width="2.5" style="1" customWidth="1"/>
    <col min="2" max="3" width="17.5" customWidth="1"/>
    <col min="4" max="4" width="20.1640625" customWidth="1"/>
    <col min="5" max="5" width="21" customWidth="1"/>
    <col min="6" max="6" width="23.33203125" customWidth="1"/>
    <col min="7" max="8" width="17.5" customWidth="1"/>
    <col min="10" max="10" width="13.5" bestFit="1" customWidth="1"/>
    <col min="11" max="11" width="14.6640625" bestFit="1" customWidth="1"/>
  </cols>
  <sheetData>
    <row r="1" spans="1:8" s="1" customFormat="1" ht="59.25" customHeight="1" x14ac:dyDescent="0.15">
      <c r="B1" s="117">
        <f>DATE(CalendarYear,8,1)</f>
        <v>42948</v>
      </c>
      <c r="C1" s="117"/>
      <c r="D1" s="117"/>
      <c r="E1" s="117"/>
      <c r="F1" s="117"/>
      <c r="G1" s="117"/>
      <c r="H1" s="117"/>
    </row>
    <row r="2" spans="1:8" s="3" customFormat="1" ht="21.75" customHeight="1" x14ac:dyDescent="0.15">
      <c r="A2" s="2"/>
      <c r="B2" s="39" t="s">
        <v>0</v>
      </c>
      <c r="C2" s="39" t="s">
        <v>1</v>
      </c>
      <c r="D2" s="39" t="s">
        <v>2</v>
      </c>
      <c r="E2" s="39" t="s">
        <v>3</v>
      </c>
      <c r="F2" s="39" t="s">
        <v>4</v>
      </c>
      <c r="G2" s="39" t="s">
        <v>5</v>
      </c>
      <c r="H2" s="39" t="s">
        <v>6</v>
      </c>
    </row>
    <row r="3" spans="1:8" ht="14" customHeight="1" x14ac:dyDescent="0.15">
      <c r="B3" s="40" t="str">
        <f>IF(DAY(AugSun1)=1,"",IF(AND(YEAR(AugSun1+1)=CalendarYear,MONTH(AugSun1+1)=8),AugSun1+1,""))</f>
        <v/>
      </c>
      <c r="C3" s="40">
        <f>IF(DAY(AugSun1)=1,"",IF(AND(YEAR(AugSun1+2)=CalendarYear,MONTH(AugSun1+2)=8),AugSun1+2,""))</f>
        <v>42948</v>
      </c>
      <c r="D3" s="40">
        <f>IF(DAY(AugSun1)=1,"",IF(AND(YEAR(AugSun1+3)=CalendarYear,MONTH(AugSun1+3)=8),AugSun1+3,""))</f>
        <v>42949</v>
      </c>
      <c r="E3" s="40">
        <f>IF(DAY(AugSun1)=1,"",IF(AND(YEAR(AugSun1+4)=CalendarYear,MONTH(AugSun1+4)=8),AugSun1+4,""))</f>
        <v>42950</v>
      </c>
      <c r="F3" s="40">
        <f>IF(DAY(AugSun1)=1,"",IF(AND(YEAR(AugSun1+5)=CalendarYear,MONTH(AugSun1+5)=8),AugSun1+5,""))</f>
        <v>42951</v>
      </c>
      <c r="G3" s="40">
        <f>IF(DAY(AugSun1)=1,"",IF(AND(YEAR(AugSun1+6)=CalendarYear,MONTH(AugSun1+6)=8),AugSun1+6,""))</f>
        <v>42952</v>
      </c>
      <c r="H3" s="40">
        <f>IF(DAY(AugSun1)=1,IF(AND(YEAR(AugSun1)=CalendarYear,MONTH(AugSun1)=8),AugSun1,""),IF(AND(YEAR(AugSun1+7)=CalendarYear,MONTH(AugSun1+7)=8),AugSun1+7,""))</f>
        <v>42953</v>
      </c>
    </row>
    <row r="4" spans="1:8" ht="58" customHeight="1" x14ac:dyDescent="0.15">
      <c r="B4" s="41"/>
      <c r="C4" s="41"/>
      <c r="D4" s="42"/>
      <c r="E4" s="42"/>
      <c r="F4" s="42"/>
      <c r="G4" s="43"/>
      <c r="H4" s="43"/>
    </row>
    <row r="5" spans="1:8" ht="14" customHeight="1" x14ac:dyDescent="0.15">
      <c r="B5" s="40">
        <f>IF(DAY(AugSun1)=1,IF(AND(YEAR(AugSun1+1)=CalendarYear,MONTH(AugSun1+1)=8),AugSun1+1,""),IF(AND(YEAR(AugSun1+8)=CalendarYear,MONTH(AugSun1+8)=8),AugSun1+8,""))</f>
        <v>42954</v>
      </c>
      <c r="C5" s="40">
        <f>IF(DAY(AugSun1)=1,IF(AND(YEAR(AugSun1+2)=CalendarYear,MONTH(AugSun1+2)=8),AugSun1+2,""),IF(AND(YEAR(AugSun1+9)=CalendarYear,MONTH(AugSun1+9)=8),AugSun1+9,""))</f>
        <v>42955</v>
      </c>
      <c r="D5" s="40">
        <f>IF(DAY(AugSun1)=1,IF(AND(YEAR(AugSun1+3)=CalendarYear,MONTH(AugSun1+3)=8),AugSun1+3,""),IF(AND(YEAR(AugSun1+10)=CalendarYear,MONTH(AugSun1+10)=8),AugSun1+10,""))</f>
        <v>42956</v>
      </c>
      <c r="E5" s="40">
        <f>IF(DAY(AugSun1)=1,IF(AND(YEAR(AugSun1+4)=CalendarYear,MONTH(AugSun1+4)=8),AugSun1+4,""),IF(AND(YEAR(AugSun1+11)=CalendarYear,MONTH(AugSun1+11)=8),AugSun1+11,""))</f>
        <v>42957</v>
      </c>
      <c r="F5" s="40">
        <f>IF(DAY(AugSun1)=1,IF(AND(YEAR(AugSun1+5)=CalendarYear,MONTH(AugSun1+5)=8),AugSun1+5,""),IF(AND(YEAR(AugSun1+12)=CalendarYear,MONTH(AugSun1+12)=8),AugSun1+12,""))</f>
        <v>42958</v>
      </c>
      <c r="G5" s="40">
        <f>IF(DAY(AugSun1)=1,IF(AND(YEAR(AugSun1+6)=CalendarYear,MONTH(AugSun1+6)=8),AugSun1+6,""),IF(AND(YEAR(AugSun1+13)=CalendarYear,MONTH(AugSun1+13)=8),AugSun1+13,""))</f>
        <v>42959</v>
      </c>
      <c r="H5" s="40">
        <f>IF(DAY(AugSun1)=1,IF(AND(YEAR(AugSun1+7)=CalendarYear,MONTH(AugSun1+7)=8),AugSun1+7,""),IF(AND(YEAR(AugSun1+14)=CalendarYear,MONTH(AugSun1+14)=8),AugSun1+14,""))</f>
        <v>42960</v>
      </c>
    </row>
    <row r="6" spans="1:8" ht="105" customHeight="1" x14ac:dyDescent="0.15">
      <c r="B6" s="88" t="s">
        <v>36</v>
      </c>
      <c r="C6" s="41"/>
      <c r="D6" s="42"/>
      <c r="E6" s="42"/>
      <c r="F6" s="42"/>
      <c r="G6" s="43"/>
      <c r="H6" s="43"/>
    </row>
    <row r="7" spans="1:8" ht="14" customHeight="1" x14ac:dyDescent="0.15">
      <c r="B7" s="40"/>
      <c r="C7" s="40">
        <f>IF(DAY(AugSun1)=1,IF(AND(YEAR(AugSun1+9)=CalendarYear,MONTH(AugSun1+9)=8),AugSun1+9,""),IF(AND(YEAR(AugSun1+16)=CalendarYear,MONTH(AugSun1+16)=8),AugSun1+16,""))</f>
        <v>42962</v>
      </c>
      <c r="D7" s="40">
        <f>IF(DAY(AugSun1)=1,IF(AND(YEAR(AugSun1+10)=CalendarYear,MONTH(AugSun1+10)=8),AugSun1+10,""),IF(AND(YEAR(AugSun1+17)=CalendarYear,MONTH(AugSun1+17)=8),AugSun1+17,""))</f>
        <v>42963</v>
      </c>
      <c r="E7" s="40">
        <f>IF(DAY(AugSun1)=1,IF(AND(YEAR(AugSun1+11)=CalendarYear,MONTH(AugSun1+11)=8),AugSun1+11,""),IF(AND(YEAR(AugSun1+18)=CalendarYear,MONTH(AugSun1+18)=8),AugSun1+18,""))</f>
        <v>42964</v>
      </c>
      <c r="F7" s="40">
        <f>IF(DAY(AugSun1)=1,IF(AND(YEAR(AugSun1+12)=CalendarYear,MONTH(AugSun1+12)=8),AugSun1+12,""),IF(AND(YEAR(AugSun1+19)=CalendarYear,MONTH(AugSun1+19)=8),AugSun1+19,""))</f>
        <v>42965</v>
      </c>
      <c r="G7" s="40">
        <f>IF(DAY(AugSun1)=1,IF(AND(YEAR(AugSun1+13)=CalendarYear,MONTH(AugSun1+13)=8),AugSun1+13,""),IF(AND(YEAR(AugSun1+20)=CalendarYear,MONTH(AugSun1+20)=8),AugSun1+20,""))</f>
        <v>42966</v>
      </c>
      <c r="H7" s="40">
        <f>IF(DAY(AugSun1)=1,IF(AND(YEAR(AugSun1+14)=CalendarYear,MONTH(AugSun1+14)=8),AugSun1+14,""),IF(AND(YEAR(AugSun1+21)=CalendarYear,MONTH(AugSun1+21)=8),AugSun1+21,""))</f>
        <v>42967</v>
      </c>
    </row>
    <row r="8" spans="1:8" ht="58" customHeight="1" x14ac:dyDescent="0.15">
      <c r="B8" s="41"/>
      <c r="C8" s="41"/>
      <c r="D8" s="42"/>
      <c r="E8" s="42"/>
      <c r="F8" s="42"/>
      <c r="G8" s="43"/>
      <c r="H8" s="43"/>
    </row>
    <row r="9" spans="1:8" ht="14" customHeight="1" x14ac:dyDescent="0.15">
      <c r="B9" s="40">
        <f>IF(DAY(AugSun1)=1,IF(AND(YEAR(AugSun1+15)=CalendarYear,MONTH(AugSun1+15)=8),AugSun1+15,""),IF(AND(YEAR(AugSun1+22)=CalendarYear,MONTH(AugSun1+22)=8),AugSun1+22,""))</f>
        <v>42968</v>
      </c>
      <c r="C9" s="40">
        <f>IF(DAY(AugSun1)=1,IF(AND(YEAR(AugSun1+16)=CalendarYear,MONTH(AugSun1+16)=8),AugSun1+16,""),IF(AND(YEAR(AugSun1+23)=CalendarYear,MONTH(AugSun1+23)=8),AugSun1+23,""))</f>
        <v>42969</v>
      </c>
      <c r="D9" s="40">
        <f>IF(DAY(AugSun1)=1,IF(AND(YEAR(AugSun1+17)=CalendarYear,MONTH(AugSun1+17)=8),AugSun1+17,""),IF(AND(YEAR(AugSun1+24)=CalendarYear,MONTH(AugSun1+24)=8),AugSun1+24,""))</f>
        <v>42970</v>
      </c>
      <c r="E9" s="40">
        <f>IF(DAY(AugSun1)=1,IF(AND(YEAR(AugSun1+18)=CalendarYear,MONTH(AugSun1+18)=8),AugSun1+18,""),IF(AND(YEAR(AugSun1+25)=CalendarYear,MONTH(AugSun1+25)=8),AugSun1+25,""))</f>
        <v>42971</v>
      </c>
      <c r="F9" s="40">
        <f>IF(DAY(AugSun1)=1,IF(AND(YEAR(AugSun1+19)=CalendarYear,MONTH(AugSun1+19)=8),AugSun1+19,""),IF(AND(YEAR(AugSun1+26)=CalendarYear,MONTH(AugSun1+26)=8),AugSun1+26,""))</f>
        <v>42972</v>
      </c>
      <c r="G9" s="40">
        <f>IF(DAY(AugSun1)=1,IF(AND(YEAR(AugSun1+20)=CalendarYear,MONTH(AugSun1+20)=8),AugSun1+20,""),IF(AND(YEAR(AugSun1+27)=CalendarYear,MONTH(AugSun1+27)=8),AugSun1+27,""))</f>
        <v>42973</v>
      </c>
      <c r="H9" s="40">
        <f>IF(DAY(AugSun1)=1,IF(AND(YEAR(AugSun1+21)=CalendarYear,MONTH(AugSun1+21)=8),AugSun1+21,""),IF(AND(YEAR(AugSun1+28)=CalendarYear,MONTH(AugSun1+28)=8),AugSun1+28,""))</f>
        <v>42974</v>
      </c>
    </row>
    <row r="10" spans="1:8" s="5" customFormat="1" ht="99" customHeight="1" x14ac:dyDescent="0.15">
      <c r="A10" s="1"/>
      <c r="B10" s="101"/>
      <c r="C10" s="140" t="s">
        <v>41</v>
      </c>
      <c r="D10" s="141"/>
      <c r="E10" s="142"/>
      <c r="F10" s="101"/>
      <c r="G10" s="40"/>
      <c r="H10" s="40"/>
    </row>
    <row r="11" spans="1:8" ht="197" customHeight="1" x14ac:dyDescent="0.15">
      <c r="B11" s="135" t="s">
        <v>40</v>
      </c>
      <c r="C11" s="136"/>
      <c r="D11" s="136"/>
      <c r="E11" s="137"/>
      <c r="F11" s="112" t="s">
        <v>39</v>
      </c>
      <c r="G11" s="43"/>
      <c r="H11" s="43"/>
    </row>
    <row r="12" spans="1:8" ht="14" customHeight="1" x14ac:dyDescent="0.15">
      <c r="B12" s="40">
        <f>IF(DAY(AugSun1)=1,IF(AND(YEAR(AugSun1+22)=CalendarYear,MONTH(AugSun1+22)=8),AugSun1+22,""),IF(AND(YEAR(AugSun1+29)=CalendarYear,MONTH(AugSun1+29)=8),AugSun1+29,""))</f>
        <v>42975</v>
      </c>
      <c r="C12" s="40">
        <f>IF(DAY(AugSun1)=1,IF(AND(YEAR(AugSun1+23)=CalendarYear,MONTH(AugSun1+23)=8),AugSun1+23,""),IF(AND(YEAR(AugSun1+30)=CalendarYear,MONTH(AugSun1+30)=8),AugSun1+30,""))</f>
        <v>42976</v>
      </c>
      <c r="D12" s="40">
        <f>IF(DAY(AugSun1)=1,IF(AND(YEAR(AugSun1+24)=CalendarYear,MONTH(AugSun1+24)=8),AugSun1+24,""),IF(AND(YEAR(AugSun1+31)=CalendarYear,MONTH(AugSun1+31)=8),AugSun1+31,""))</f>
        <v>42977</v>
      </c>
      <c r="E12" s="40">
        <f>IF(DAY(AugSun1)=1,IF(AND(YEAR(AugSun1+25)=CalendarYear,MONTH(AugSun1+25)=8),AugSun1+25,""),IF(AND(YEAR(AugSun1+32)=CalendarYear,MONTH(AugSun1+32)=8),AugSun1+32,""))</f>
        <v>42978</v>
      </c>
      <c r="F12" s="40" t="str">
        <f>IF(DAY(AugSun1)=1,IF(AND(YEAR(AugSun1+26)=CalendarYear,MONTH(AugSun1+26)=8),AugSun1+26,""),IF(AND(YEAR(AugSun1+33)=CalendarYear,MONTH(AugSun1+33)=8),AugSun1+33,""))</f>
        <v/>
      </c>
      <c r="G12" s="40" t="str">
        <f>IF(DAY(AugSun1)=1,IF(AND(YEAR(AugSun1+27)=CalendarYear,MONTH(AugSun1+27)=8),AugSun1+27,""),IF(AND(YEAR(AugSun1+34)=CalendarYear,MONTH(AugSun1+34)=8),AugSun1+34,""))</f>
        <v/>
      </c>
      <c r="H12" s="40" t="str">
        <f>IF(DAY(AugSun1)=1,IF(AND(YEAR(AugSun1+28)=CalendarYear,MONTH(AugSun1+28)=8),AugSun1+28,""),IF(AND(YEAR(AugSun1+35)=CalendarYear,MONTH(AugSun1+35)=8),AugSun1+35,""))</f>
        <v/>
      </c>
    </row>
    <row r="13" spans="1:8" ht="140" customHeight="1" x14ac:dyDescent="0.15">
      <c r="B13" s="41"/>
      <c r="C13" s="41"/>
      <c r="D13" s="138" t="s">
        <v>33</v>
      </c>
      <c r="E13" s="139"/>
      <c r="F13" s="41"/>
      <c r="G13" s="43"/>
      <c r="H13" s="43"/>
    </row>
    <row r="14" spans="1:8" ht="14" customHeight="1" x14ac:dyDescent="0.15">
      <c r="B14" s="40" t="str">
        <f>IF(DAY(AugSun1)=1,IF(AND(YEAR(AugSun1+29)=CalendarYear,MONTH(AugSun1+29)=8),AugSun1+29,""),IF(AND(YEAR(AugSun1+36)=CalendarYear,MONTH(AugSun1+36)=8),AugSun1+36,""))</f>
        <v/>
      </c>
      <c r="C14" s="40" t="str">
        <f>IF(DAY(AugSun1)=1,IF(AND(YEAR(AugSun1+30)=CalendarYear,MONTH(AugSun1+30)=8),AugSun1+30,""),IF(AND(YEAR(AugSun1+37)=CalendarYear,MONTH(AugSun1+37)=8),AugSun1+37,""))</f>
        <v/>
      </c>
      <c r="D14" s="133" t="s">
        <v>8</v>
      </c>
      <c r="E14" s="133"/>
      <c r="F14" s="133"/>
      <c r="G14" s="133"/>
      <c r="H14" s="133"/>
    </row>
    <row r="15" spans="1:8" ht="58" customHeight="1" x14ac:dyDescent="0.15">
      <c r="B15" s="41"/>
      <c r="C15" s="41"/>
      <c r="D15" s="134"/>
      <c r="E15" s="134"/>
      <c r="F15" s="134"/>
      <c r="G15" s="134"/>
      <c r="H15" s="134"/>
    </row>
  </sheetData>
  <mergeCells count="6">
    <mergeCell ref="B1:H1"/>
    <mergeCell ref="D14:H14"/>
    <mergeCell ref="D15:H15"/>
    <mergeCell ref="B11:E11"/>
    <mergeCell ref="D13:E13"/>
    <mergeCell ref="C10:E10"/>
  </mergeCells>
  <phoneticPr fontId="10" type="noConversion"/>
  <printOptions horizontalCentered="1" verticalCentered="1"/>
  <pageMargins left="0.5" right="0.5" top="0.75" bottom="0.75" header="0.5" footer="0.5"/>
  <pageSetup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4"/>
  <sheetViews>
    <sheetView showGridLines="0" topLeftCell="A6" workbookViewId="0">
      <selection activeCell="B12" sqref="B12:C12"/>
    </sheetView>
  </sheetViews>
  <sheetFormatPr baseColWidth="10" defaultColWidth="8.6640625" defaultRowHeight="14" x14ac:dyDescent="0.15"/>
  <cols>
    <col min="1" max="1" width="2.5" style="1" customWidth="1"/>
    <col min="2" max="2" width="17.5" customWidth="1"/>
    <col min="3" max="3" width="27.5" customWidth="1"/>
    <col min="4" max="5" width="17.5" customWidth="1"/>
    <col min="6" max="6" width="30.33203125" customWidth="1"/>
    <col min="7" max="7" width="17.5" customWidth="1"/>
    <col min="8" max="8" width="35.83203125" customWidth="1"/>
    <col min="10" max="10" width="13.5" bestFit="1" customWidth="1"/>
    <col min="11" max="11" width="14.6640625" bestFit="1" customWidth="1"/>
  </cols>
  <sheetData>
    <row r="1" spans="1:8" s="1" customFormat="1" ht="59.25" customHeight="1" thickBot="1" x14ac:dyDescent="0.2">
      <c r="B1" s="117">
        <f>DATE(CalendarYear,9,1)</f>
        <v>42979</v>
      </c>
      <c r="C1" s="117"/>
      <c r="D1" s="117"/>
      <c r="E1" s="117"/>
      <c r="F1" s="117"/>
      <c r="G1" s="117"/>
      <c r="H1" s="117"/>
    </row>
    <row r="2" spans="1:8" s="3" customFormat="1" ht="21.75" customHeight="1" x14ac:dyDescent="0.15">
      <c r="A2" s="2"/>
      <c r="B2" s="10" t="s">
        <v>0</v>
      </c>
      <c r="C2" s="11" t="s">
        <v>1</v>
      </c>
      <c r="D2" s="11" t="s">
        <v>2</v>
      </c>
      <c r="E2" s="11" t="s">
        <v>3</v>
      </c>
      <c r="F2" s="11" t="s">
        <v>4</v>
      </c>
      <c r="G2" s="11" t="s">
        <v>5</v>
      </c>
      <c r="H2" s="12" t="s">
        <v>6</v>
      </c>
    </row>
    <row r="3" spans="1:8" ht="14" customHeight="1" x14ac:dyDescent="0.15">
      <c r="B3" s="13" t="str">
        <f>IF(DAY(SepSun1)=1,"",IF(AND(YEAR(SepSun1+1)=CalendarYear,MONTH(SepSun1+1)=9),SepSun1+1,""))</f>
        <v/>
      </c>
      <c r="C3" s="7" t="str">
        <f>IF(DAY(SepSun1)=1,"",IF(AND(YEAR(SepSun1+2)=CalendarYear,MONTH(SepSun1+2)=9),SepSun1+2,""))</f>
        <v/>
      </c>
      <c r="D3" s="7" t="str">
        <f>IF(DAY(SepSun1)=1,"",IF(AND(YEAR(SepSun1+3)=CalendarYear,MONTH(SepSun1+3)=9),SepSun1+3,""))</f>
        <v/>
      </c>
      <c r="E3" s="7" t="str">
        <f>IF(DAY(SepSun1)=1,"",IF(AND(YEAR(SepSun1+4)=CalendarYear,MONTH(SepSun1+4)=9),SepSun1+4,""))</f>
        <v/>
      </c>
      <c r="F3" s="7">
        <f>IF(DAY(SepSun1)=1,"",IF(AND(YEAR(SepSun1+5)=CalendarYear,MONTH(SepSun1+5)=9),SepSun1+5,""))</f>
        <v>42979</v>
      </c>
      <c r="G3" s="44">
        <f>IF(DAY(SepSun1)=1,"",IF(AND(YEAR(SepSun1+6)=CalendarYear,MONTH(SepSun1+6)=9),SepSun1+6,""))</f>
        <v>42980</v>
      </c>
      <c r="H3" s="93">
        <f>IF(DAY(SepSun1)=1,IF(AND(YEAR(SepSun1)=CalendarYear,MONTH(SepSun1)=9),SepSun1,""),IF(AND(YEAR(SepSun1+7)=CalendarYear,MONTH(SepSun1+7)=9),SepSun1+7,""))</f>
        <v>42981</v>
      </c>
    </row>
    <row r="4" spans="1:8" ht="207" customHeight="1" x14ac:dyDescent="0.15">
      <c r="B4" s="16"/>
      <c r="C4" s="8"/>
      <c r="D4" s="9"/>
      <c r="E4" s="9"/>
      <c r="F4" s="104" t="s">
        <v>27</v>
      </c>
      <c r="G4" s="95"/>
      <c r="H4" s="113" t="s">
        <v>28</v>
      </c>
    </row>
    <row r="5" spans="1:8" ht="14" customHeight="1" x14ac:dyDescent="0.15">
      <c r="B5" s="13">
        <f>IF(DAY(SepSun1)=1,IF(AND(YEAR(SepSun1+1)=CalendarYear,MONTH(SepSun1+1)=9),SepSun1+1,""),IF(AND(YEAR(SepSun1+8)=CalendarYear,MONTH(SepSun1+8)=9),SepSun1+8,""))</f>
        <v>42982</v>
      </c>
      <c r="C5" s="7">
        <f>IF(DAY(SepSun1)=1,IF(AND(YEAR(SepSun1+2)=CalendarYear,MONTH(SepSun1+2)=9),SepSun1+2,""),IF(AND(YEAR(SepSun1+9)=CalendarYear,MONTH(SepSun1+9)=9),SepSun1+9,""))</f>
        <v>42983</v>
      </c>
      <c r="D5" s="7">
        <f>IF(DAY(SepSun1)=1,IF(AND(YEAR(SepSun1+3)=CalendarYear,MONTH(SepSun1+3)=9),SepSun1+3,""),IF(AND(YEAR(SepSun1+10)=CalendarYear,MONTH(SepSun1+10)=9),SepSun1+10,""))</f>
        <v>42984</v>
      </c>
      <c r="E5" s="7">
        <f>IF(DAY(SepSun1)=1,IF(AND(YEAR(SepSun1+4)=CalendarYear,MONTH(SepSun1+4)=9),SepSun1+4,""),IF(AND(YEAR(SepSun1+11)=CalendarYear,MONTH(SepSun1+11)=9),SepSun1+11,""))</f>
        <v>42985</v>
      </c>
      <c r="F5" s="7">
        <f>IF(DAY(SepSun1)=1,IF(AND(YEAR(SepSun1+5)=CalendarYear,MONTH(SepSun1+5)=9),SepSun1+5,""),IF(AND(YEAR(SepSun1+12)=CalendarYear,MONTH(SepSun1+12)=9),SepSun1+12,""))</f>
        <v>42986</v>
      </c>
      <c r="G5" s="87">
        <f>IF(DAY(SepSun1)=1,IF(AND(YEAR(SepSun1+6)=CalendarYear,MONTH(SepSun1+6)=9),SepSun1+6,""),IF(AND(YEAR(SepSun1+13)=CalendarYear,MONTH(SepSun1+13)=9),SepSun1+13,""))</f>
        <v>42987</v>
      </c>
      <c r="H5" s="94">
        <f>IF(DAY(SepSun1)=1,IF(AND(YEAR(SepSun1+7)=CalendarYear,MONTH(SepSun1+7)=9),SepSun1+7,""),IF(AND(YEAR(SepSun1+14)=CalendarYear,MONTH(SepSun1+14)=9),SepSun1+14,""))</f>
        <v>42988</v>
      </c>
    </row>
    <row r="6" spans="1:8" ht="181" customHeight="1" x14ac:dyDescent="0.15">
      <c r="B6" s="145" t="s">
        <v>15</v>
      </c>
      <c r="C6" s="146"/>
      <c r="D6" s="9"/>
      <c r="E6" s="9"/>
      <c r="F6" s="9"/>
      <c r="G6" s="17"/>
      <c r="H6" s="18"/>
    </row>
    <row r="7" spans="1:8" ht="14" customHeight="1" x14ac:dyDescent="0.15">
      <c r="B7" s="13">
        <f>IF(DAY(SepSun1)=1,IF(AND(YEAR(SepSun1+8)=CalendarYear,MONTH(SepSun1+8)=9),SepSun1+8,""),IF(AND(YEAR(SepSun1+15)=CalendarYear,MONTH(SepSun1+15)=9),SepSun1+15,""))</f>
        <v>42989</v>
      </c>
      <c r="C7" s="7">
        <f>IF(DAY(SepSun1)=1,IF(AND(YEAR(SepSun1+9)=CalendarYear,MONTH(SepSun1+9)=9),SepSun1+9,""),IF(AND(YEAR(SepSun1+16)=CalendarYear,MONTH(SepSun1+16)=9),SepSun1+16,""))</f>
        <v>42990</v>
      </c>
      <c r="D7" s="7">
        <f>IF(DAY(SepSun1)=1,IF(AND(YEAR(SepSun1+10)=CalendarYear,MONTH(SepSun1+10)=9),SepSun1+10,""),IF(AND(YEAR(SepSun1+17)=CalendarYear,MONTH(SepSun1+17)=9),SepSun1+17,""))</f>
        <v>42991</v>
      </c>
      <c r="E7" s="7">
        <f>IF(DAY(SepSun1)=1,IF(AND(YEAR(SepSun1+11)=CalendarYear,MONTH(SepSun1+11)=9),SepSun1+11,""),IF(AND(YEAR(SepSun1+18)=CalendarYear,MONTH(SepSun1+18)=9),SepSun1+18,""))</f>
        <v>42992</v>
      </c>
      <c r="F7" s="7">
        <f>IF(DAY(SepSun1)=1,IF(AND(YEAR(SepSun1+12)=CalendarYear,MONTH(SepSun1+12)=9),SepSun1+12,""),IF(AND(YEAR(SepSun1+19)=CalendarYear,MONTH(SepSun1+19)=9),SepSun1+19,""))</f>
        <v>42993</v>
      </c>
      <c r="G7" s="7">
        <f>IF(DAY(SepSun1)=1,IF(AND(YEAR(SepSun1+13)=CalendarYear,MONTH(SepSun1+13)=9),SepSun1+13,""),IF(AND(YEAR(SepSun1+20)=CalendarYear,MONTH(SepSun1+20)=9),SepSun1+20,""))</f>
        <v>42994</v>
      </c>
      <c r="H7" s="14">
        <f>IF(DAY(SepSun1)=1,IF(AND(YEAR(SepSun1+14)=CalendarYear,MONTH(SepSun1+14)=9),SepSun1+14,""),IF(AND(YEAR(SepSun1+21)=CalendarYear,MONTH(SepSun1+21)=9),SepSun1+21,""))</f>
        <v>42995</v>
      </c>
    </row>
    <row r="8" spans="1:8" ht="90" customHeight="1" x14ac:dyDescent="0.15">
      <c r="B8" s="16"/>
      <c r="C8" s="8"/>
      <c r="D8" s="9"/>
      <c r="E8" s="9"/>
      <c r="F8" s="9"/>
      <c r="G8" s="17"/>
      <c r="H8" s="17"/>
    </row>
    <row r="9" spans="1:8" ht="14" customHeight="1" x14ac:dyDescent="0.15">
      <c r="B9" s="13">
        <f>IF(DAY(SepSun1)=1,IF(AND(YEAR(SepSun1+15)=CalendarYear,MONTH(SepSun1+15)=9),SepSun1+15,""),IF(AND(YEAR(SepSun1+22)=CalendarYear,MONTH(SepSun1+22)=9),SepSun1+22,""))</f>
        <v>42996</v>
      </c>
      <c r="C9" s="7">
        <f>IF(DAY(SepSun1)=1,IF(AND(YEAR(SepSun1+16)=CalendarYear,MONTH(SepSun1+16)=9),SepSun1+16,""),IF(AND(YEAR(SepSun1+23)=CalendarYear,MONTH(SepSun1+23)=9),SepSun1+23,""))</f>
        <v>42997</v>
      </c>
      <c r="D9" s="7">
        <f>IF(DAY(SepSun1)=1,IF(AND(YEAR(SepSun1+17)=CalendarYear,MONTH(SepSun1+17)=9),SepSun1+17,""),IF(AND(YEAR(SepSun1+24)=CalendarYear,MONTH(SepSun1+24)=9),SepSun1+24,""))</f>
        <v>42998</v>
      </c>
      <c r="E9" s="7">
        <f>IF(DAY(SepSun1)=1,IF(AND(YEAR(SepSun1+18)=CalendarYear,MONTH(SepSun1+18)=9),SepSun1+18,""),IF(AND(YEAR(SepSun1+25)=CalendarYear,MONTH(SepSun1+25)=9),SepSun1+25,""))</f>
        <v>42999</v>
      </c>
      <c r="F9" s="7">
        <f>IF(DAY(SepSun1)=1,IF(AND(YEAR(SepSun1+19)=CalendarYear,MONTH(SepSun1+19)=9),SepSun1+19,""),IF(AND(YEAR(SepSun1+26)=CalendarYear,MONTH(SepSun1+26)=9),SepSun1+26,""))</f>
        <v>43000</v>
      </c>
      <c r="G9" s="7">
        <f>IF(DAY(SepSun1)=1,IF(AND(YEAR(SepSun1+20)=CalendarYear,MONTH(SepSun1+20)=9),SepSun1+20,""),IF(AND(YEAR(SepSun1+27)=CalendarYear,MONTH(SepSun1+27)=9),SepSun1+27,""))</f>
        <v>43001</v>
      </c>
      <c r="H9" s="14">
        <f>IF(DAY(SepSun1)=1,IF(AND(YEAR(SepSun1+21)=CalendarYear,MONTH(SepSun1+21)=9),SepSun1+21,""),IF(AND(YEAR(SepSun1+28)=CalendarYear,MONTH(SepSun1+28)=9),SepSun1+28,""))</f>
        <v>43002</v>
      </c>
    </row>
    <row r="10" spans="1:8" ht="58" customHeight="1" x14ac:dyDescent="0.15">
      <c r="B10" s="147" t="s">
        <v>16</v>
      </c>
      <c r="C10" s="148"/>
      <c r="D10" s="148"/>
      <c r="E10" s="148"/>
      <c r="F10" s="148"/>
      <c r="G10" s="149"/>
      <c r="H10" s="18"/>
    </row>
    <row r="11" spans="1:8" ht="14" customHeight="1" x14ac:dyDescent="0.15">
      <c r="B11" s="79">
        <f>IF(DAY(SepSun1)=1,IF(AND(YEAR(SepSun1+22)=CalendarYear,MONTH(SepSun1+22)=9),SepSun1+22,""),IF(AND(YEAR(SepSun1+29)=CalendarYear,MONTH(SepSun1+29)=9),SepSun1+29,""))</f>
        <v>43003</v>
      </c>
      <c r="C11" s="44">
        <f>IF(DAY(SepSun1)=1,IF(AND(YEAR(SepSun1+23)=CalendarYear,MONTH(SepSun1+23)=9),SepSun1+23,""),IF(AND(YEAR(SepSun1+30)=CalendarYear,MONTH(SepSun1+30)=9),SepSun1+30,""))</f>
        <v>43004</v>
      </c>
      <c r="D11" s="44">
        <f>IF(DAY(SepSun1)=1,IF(AND(YEAR(SepSun1+24)=CalendarYear,MONTH(SepSun1+24)=9),SepSun1+24,""),IF(AND(YEAR(SepSun1+31)=CalendarYear,MONTH(SepSun1+31)=9),SepSun1+31,""))</f>
        <v>43005</v>
      </c>
      <c r="E11" s="44">
        <f>IF(DAY(SepSun1)=1,IF(AND(YEAR(SepSun1+25)=CalendarYear,MONTH(SepSun1+25)=9),SepSun1+25,""),IF(AND(YEAR(SepSun1+32)=CalendarYear,MONTH(SepSun1+32)=9),SepSun1+32,""))</f>
        <v>43006</v>
      </c>
      <c r="F11" s="44">
        <f>IF(DAY(SepSun1)=1,IF(AND(YEAR(SepSun1+26)=CalendarYear,MONTH(SepSun1+26)=9),SepSun1+26,""),IF(AND(YEAR(SepSun1+33)=CalendarYear,MONTH(SepSun1+33)=9),SepSun1+33,""))</f>
        <v>43007</v>
      </c>
      <c r="G11" s="7">
        <f>IF(DAY(SepSun1)=1,IF(AND(YEAR(SepSun1+27)=CalendarYear,MONTH(SepSun1+27)=9),SepSun1+27,""),IF(AND(YEAR(SepSun1+34)=CalendarYear,MONTH(SepSun1+34)=9),SepSun1+34,""))</f>
        <v>43008</v>
      </c>
      <c r="H11" s="14" t="str">
        <f>IF(DAY(SepSun1)=1,IF(AND(YEAR(SepSun1+28)=CalendarYear,MONTH(SepSun1+28)=9),SepSun1+28,""),IF(AND(YEAR(SepSun1+35)=CalendarYear,MONTH(SepSun1+35)=9),SepSun1+35,""))</f>
        <v/>
      </c>
    </row>
    <row r="12" spans="1:8" ht="123" customHeight="1" x14ac:dyDescent="0.15">
      <c r="B12" s="150" t="s">
        <v>37</v>
      </c>
      <c r="C12" s="151"/>
      <c r="D12" s="103"/>
      <c r="E12" s="103"/>
      <c r="F12" s="103"/>
      <c r="G12" s="69"/>
      <c r="H12" s="18"/>
    </row>
    <row r="13" spans="1:8" ht="14" customHeight="1" x14ac:dyDescent="0.15">
      <c r="B13" s="80" t="str">
        <f>IF(DAY(SepSun1)=1,IF(AND(YEAR(SepSun1+29)=CalendarYear,MONTH(SepSun1+29)=9),SepSun1+29,""),IF(AND(YEAR(SepSun1+36)=CalendarYear,MONTH(SepSun1+36)=9),SepSun1+36,""))</f>
        <v/>
      </c>
      <c r="C13" s="87" t="str">
        <f>IF(DAY(SepSun1)=1,IF(AND(YEAR(SepSun1+30)=CalendarYear,MONTH(SepSun1+30)=9),SepSun1+30,""),IF(AND(YEAR(SepSun1+37)=CalendarYear,MONTH(SepSun1+37)=9),SepSun1+37,""))</f>
        <v/>
      </c>
      <c r="D13" s="143" t="s">
        <v>8</v>
      </c>
      <c r="E13" s="144"/>
      <c r="F13" s="144"/>
      <c r="G13" s="128"/>
      <c r="H13" s="129"/>
    </row>
    <row r="14" spans="1:8" ht="58" customHeight="1" thickBot="1" x14ac:dyDescent="0.2">
      <c r="B14" s="19"/>
      <c r="C14" s="84"/>
      <c r="D14" s="118"/>
      <c r="E14" s="119"/>
      <c r="F14" s="119"/>
      <c r="G14" s="119"/>
      <c r="H14" s="120"/>
    </row>
  </sheetData>
  <mergeCells count="6">
    <mergeCell ref="B1:H1"/>
    <mergeCell ref="D13:H13"/>
    <mergeCell ref="D14:H14"/>
    <mergeCell ref="B6:C6"/>
    <mergeCell ref="B10:G10"/>
    <mergeCell ref="B12:C12"/>
  </mergeCells>
  <phoneticPr fontId="10" type="noConversion"/>
  <printOptions horizontalCentered="1" verticalCentered="1"/>
  <pageMargins left="0.5" right="0.5" top="0.75" bottom="0.75"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13</vt:i4>
      </vt:variant>
    </vt:vector>
  </HeadingPairs>
  <TitlesOfParts>
    <vt:vector size="13" baseType="lpstr">
      <vt:lpstr>Ene</vt:lpstr>
      <vt:lpstr>Feb</vt:lpstr>
      <vt:lpstr>Mar</vt:lpstr>
      <vt:lpstr>Apr</vt:lpstr>
      <vt:lpstr>May</vt:lpstr>
      <vt:lpstr>Jun</vt:lpstr>
      <vt:lpstr>Jul</vt:lpstr>
      <vt:lpstr>Ago</vt:lpstr>
      <vt:lpstr>Sep</vt:lpstr>
      <vt:lpstr>Oct</vt:lpstr>
      <vt:lpstr>Nov</vt:lpstr>
      <vt:lpstr>Dec</vt:lpstr>
      <vt:lpstr>Lista de búsqueda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abril</dc:creator>
  <cp:keywords/>
  <dc:description/>
  <cp:lastModifiedBy>Ana María Cuellar Rodríguez</cp:lastModifiedBy>
  <dcterms:created xsi:type="dcterms:W3CDTF">2001-05-02T15:52:45Z</dcterms:created>
  <dcterms:modified xsi:type="dcterms:W3CDTF">2017-09-07T23:06:41Z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